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4規制年度\申請様式\web用\"/>
    </mc:Choice>
  </mc:AlternateContent>
  <xr:revisionPtr revIDLastSave="0" documentId="13_ncr:1_{9C2D8013-94C0-44B5-AB21-C8EB3AB378B6}" xr6:coauthVersionLast="47" xr6:coauthVersionMax="47" xr10:uidLastSave="{00000000-0000-0000-0000-000000000000}"/>
  <workbookProtection workbookAlgorithmName="SHA-512" workbookHashValue="hIPxaga49DrM4qMXDSRQuCRVSUE6f+iGOo/XgtH6ZKaK9/6j5x7uXKetYSg5DkK7826rLUhODSxlJZxXOcdJnw==" workbookSaltValue="DWm4sKRpxxl/WXs/iTx/XQ==" workbookSpinCount="100000" lockStructure="1"/>
  <bookViews>
    <workbookView xWindow="-120" yWindow="-120" windowWidth="29040" windowHeight="1584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6" l="1"/>
  <c r="I8" i="8"/>
  <c r="J8" i="8" s="1"/>
  <c r="I9" i="8"/>
  <c r="J9" i="8" s="1"/>
  <c r="AK32" i="6"/>
  <c r="AN32" i="6" s="1"/>
  <c r="AK31" i="6"/>
  <c r="AN31" i="6" s="1"/>
  <c r="AK30" i="6"/>
  <c r="AN30" i="6" s="1"/>
  <c r="AK29" i="6"/>
  <c r="R29" i="6"/>
  <c r="R30" i="6"/>
  <c r="R31" i="6"/>
  <c r="R32" i="6"/>
  <c r="U26" i="6"/>
  <c r="Q29" i="6"/>
  <c r="Q30" i="6"/>
  <c r="Q31" i="6"/>
  <c r="Q32" i="6"/>
  <c r="Q28" i="6"/>
  <c r="R28" i="6" s="1"/>
  <c r="AL30" i="6"/>
  <c r="AL31" i="6"/>
  <c r="AL32" i="6"/>
  <c r="AH30" i="6"/>
  <c r="AH31" i="6"/>
  <c r="AH32" i="6"/>
  <c r="AG30" i="6"/>
  <c r="AG31" i="6"/>
  <c r="AG32" i="6"/>
  <c r="AJ32" i="6" s="1"/>
  <c r="T29" i="6"/>
  <c r="AI29" i="6" s="1"/>
  <c r="T30" i="6"/>
  <c r="AI30" i="6" s="1"/>
  <c r="T31" i="6"/>
  <c r="AI31" i="6" s="1"/>
  <c r="T32" i="6"/>
  <c r="AI32" i="6" s="1"/>
  <c r="T28" i="6"/>
  <c r="S30" i="6"/>
  <c r="S31" i="6"/>
  <c r="S32" i="6"/>
  <c r="O29" i="6"/>
  <c r="O30" i="6"/>
  <c r="O31" i="6"/>
  <c r="O32" i="6"/>
  <c r="O28" i="6"/>
  <c r="U28" i="6"/>
  <c r="AO31" i="6" l="1"/>
  <c r="AO30" i="6"/>
  <c r="AO32" i="6"/>
  <c r="O8" i="8"/>
  <c r="U9" i="8"/>
  <c r="U8" i="8"/>
  <c r="T9" i="8"/>
  <c r="T8" i="8"/>
  <c r="S9" i="8"/>
  <c r="S8" i="8"/>
  <c r="R9" i="8"/>
  <c r="R8" i="8"/>
  <c r="O9" i="8"/>
  <c r="P9" i="8"/>
  <c r="P8" i="8"/>
  <c r="AJ30" i="6"/>
  <c r="AM32" i="6"/>
  <c r="AM31" i="6"/>
  <c r="AJ31" i="6"/>
  <c r="AM30" i="6"/>
  <c r="S29" i="6"/>
  <c r="AG29" i="6" l="1"/>
  <c r="AO29" i="6" s="1"/>
  <c r="AN29" i="6" l="1"/>
  <c r="AM29" i="6"/>
  <c r="AJ29" i="6"/>
  <c r="AL29" i="6"/>
  <c r="AH29" i="6"/>
  <c r="S28" i="6" l="1"/>
  <c r="AI28" i="6" s="1"/>
  <c r="S25" i="4"/>
  <c r="M8" i="8" l="1"/>
  <c r="M9" i="8"/>
  <c r="AG28" i="6"/>
  <c r="Q11" i="5"/>
  <c r="P11" i="5"/>
  <c r="O11" i="5"/>
  <c r="AK28" i="6" l="1"/>
  <c r="AO28" i="6" s="1"/>
  <c r="AJ28" i="6"/>
  <c r="AM28" i="6"/>
  <c r="AH28" i="6"/>
  <c r="Q27" i="6"/>
  <c r="Q26" i="6"/>
  <c r="K9" i="8" l="1"/>
  <c r="K8" i="8"/>
  <c r="N9" i="8"/>
  <c r="N8" i="8"/>
  <c r="AL28" i="6"/>
  <c r="AN28" i="6"/>
  <c r="I7" i="8"/>
  <c r="J16" i="3"/>
  <c r="J13" i="3"/>
  <c r="L8" i="8" l="1"/>
  <c r="L9" i="8"/>
  <c r="R7" i="8"/>
  <c r="J7" i="8"/>
  <c r="U7" i="8"/>
  <c r="T7" i="8"/>
  <c r="S7" i="8"/>
  <c r="V7" i="8"/>
  <c r="O7" i="8"/>
  <c r="W7" i="8"/>
  <c r="P7" i="8"/>
  <c r="V8" i="8"/>
  <c r="W8" i="8"/>
  <c r="V9" i="8"/>
  <c r="W9"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K27" i="6" s="1"/>
  <c r="AH27" i="6" l="1"/>
  <c r="AC28" i="6"/>
  <c r="AE28" i="6"/>
  <c r="AA28" i="6"/>
  <c r="Y28" i="6"/>
  <c r="W28" i="6"/>
  <c r="S26" i="6"/>
  <c r="AA26" i="6" s="1"/>
  <c r="R26" i="6"/>
  <c r="AM27" i="6"/>
  <c r="AJ27" i="6"/>
  <c r="W26" i="6" l="1"/>
  <c r="AI26" i="6"/>
  <c r="Y26" i="6"/>
  <c r="AC26" i="6"/>
  <c r="AG26" i="6"/>
  <c r="AE26" i="6"/>
  <c r="W29" i="6"/>
  <c r="Y29" i="6"/>
  <c r="AA29" i="6"/>
  <c r="AL27" i="6"/>
  <c r="AN27" i="6"/>
  <c r="AH26" i="6" l="1"/>
  <c r="AK26" i="6"/>
  <c r="AL26" i="6" s="1"/>
  <c r="AM26" i="6"/>
  <c r="AJ26" i="6"/>
  <c r="M7" i="8"/>
  <c r="AN26" i="6" l="1"/>
  <c r="N7" i="8"/>
  <c r="K7" i="8"/>
  <c r="L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<sst xmlns="http://schemas.openxmlformats.org/spreadsheetml/2006/main" count="353" uniqueCount="246">
  <si>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</si>
  <si>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</si>
  <si>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</si>
  <si>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</si>
  <si>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</si>
  <si>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</si>
  <si>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</si>
  <si>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</si>
  <si>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</si>
  <si>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</si>
  <si>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</si>
  <si>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</si>
  <si>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</si>
  <si>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</si>
  <si>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</si>
  <si>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</si>
  <si>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</si>
  <si>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</si>
  <si>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</si>
  <si>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</si>
  <si>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</si>
  <si>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</si>
  <si>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</si>
  <si>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</si>
  <si>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</si>
  <si>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</si>
  <si>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</si>
  <si>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</si>
  <si>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</si>
  <si>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</si>
  <si>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</si>
  <si>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</si>
  <si>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</si>
  <si>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</si>
  <si>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</si>
  <si>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</si>
  <si>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</si>
  <si>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</si>
  <si>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</si>
  <si>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</si>
  <si>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</si>
  <si>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</si>
  <si>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</si>
  <si>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</si>
  <si>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</si>
  <si>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</si>
  <si>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</si>
  <si>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</si>
  <si>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</si>
  <si>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</si>
  <si>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</si>
  <si>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</si>
  <si>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</si>
  <si>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</si>
  <si>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</si>
  <si>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</si>
  <si>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</si>
  <si>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</si>
  <si>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</si>
  <si>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</si>
  <si>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</si>
  <si>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</si>
  <si>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</si>
  <si>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</si>
  <si>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</si>
  <si>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</si>
  <si>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</si>
  <si>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</si>
  <si>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</si>
  <si>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</si>
  <si>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</si>
  <si>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</si>
  <si>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</si>
  <si>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</si>
  <si>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</si>
  <si>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</si>
  <si>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</si>
  <si>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</si>
  <si>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</si>
  <si>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</si>
  <si>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</si>
  <si>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</si>
  <si>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</si>
  <si>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</si>
  <si>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</si>
  <si>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</si>
  <si>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</si>
  <si>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</si>
  <si>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</si>
  <si>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</si>
  <si>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</si>
  <si>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</si>
  <si>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</si>
  <si>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</si>
  <si>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</si>
  <si>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</si>
  <si>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</si>
  <si>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</si>
  <si>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</si>
  <si>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</si>
  <si>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</si>
  <si>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</si>
  <si>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</si>
  <si>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</si>
  <si>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</si>
  <si>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</si>
  <si>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</si>
  <si>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</si>
  <si>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</si>
  <si>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</si>
  <si>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</si>
  <si>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</si>
  <si>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</si>
  <si>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</si>
  <si>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</si>
  <si>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</si>
  <si>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</si>
  <si>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</si>
  <si>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</si>
  <si>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</si>
  <si>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</si>
  <si>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</si>
  <si>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</si>
  <si>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</si>
  <si>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</si>
  <si>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</si>
  <si>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</si>
  <si>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</si>
  <si>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</si>
  <si>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</si>
  <si>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</si>
  <si>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</si>
  <si>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</si>
  <si>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</si>
  <si>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</si>
  <si>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</si>
  <si>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</si>
  <si>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</si>
  <si>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</si>
  <si>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</si>
  <si>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</si>
  <si>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</si>
  <si>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</si>
  <si>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</si>
  <si>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</si>
  <si>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</si>
  <si>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</si>
  <si>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HF</t>
    <phoneticPr fontId="1"/>
  </si>
  <si>
    <t>-</t>
  </si>
  <si>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</si>
  <si>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</si>
  <si>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</si>
  <si>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</si>
  <si>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</si>
  <si>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</si>
  <si>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</si>
  <si>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</si>
  <si>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</si>
  <si>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</si>
  <si>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</si>
  <si>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</si>
  <si>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</si>
  <si>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</si>
  <si>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</si>
  <si>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</si>
  <si>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</si>
  <si>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</si>
  <si>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</si>
  <si>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</si>
  <si>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</si>
  <si>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</si>
  <si>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</si>
  <si>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</si>
  <si>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</si>
  <si>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</si>
  <si>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</si>
  <si>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</si>
  <si>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</si>
  <si>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</si>
  <si>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</si>
  <si>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</si>
  <si>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</si>
  <si>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</si>
  <si>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</si>
  <si>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</si>
  <si>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</si>
  <si>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※添付資料①は申請書に添付してください。</t>
    <phoneticPr fontId="5"/>
  </si>
  <si>
    <t>6CH2F2+3O2+Si3N4 → 3SiF4+2HCN+2NH3+4CO+2H2O</t>
  </si>
  <si>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</si>
  <si>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</si>
  <si>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</si>
  <si>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</si>
  <si>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</si>
  <si>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</si>
  <si>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</si>
  <si>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</si>
  <si>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</si>
  <si>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</si>
  <si>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</si>
  <si>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</si>
  <si>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</si>
  <si>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HF</t>
  </si>
  <si>
    <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</si>
  <si>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</si>
  <si>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</si>
  <si>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千基事業所</t>
    <rPh sb="0" eb="2">
      <t>センキ</t>
    </rPh>
    <rPh sb="2" eb="5">
      <t>ジギョウショ</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</si>
  <si>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</si>
  <si>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</si>
  <si>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</si>
  <si>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</si>
  <si>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</si>
  <si>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</si>
  <si>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</si>
  <si>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</si>
  <si>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</si>
  <si>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</si>
  <si>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</si>
  <si>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</si>
  <si>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</si>
  <si>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</si>
  <si>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</si>
  <si>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</si>
  <si>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</si>
  <si>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</si>
  <si>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</si>
  <si>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</si>
  <si>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r>
      <t>CO</t>
    </r>
    <r>
      <rPr>
        <vertAlign val="subscript"/>
        <sz val="11"/>
        <color theme="1"/>
        <rFont val="Meiryo UI"/>
        <family val="3"/>
        <charset val="128"/>
      </rPr>
      <t>2</t>
    </r>
    <r>
      <rPr>
        <sz val="11"/>
        <color theme="1"/>
        <rFont val="Meiryo UI"/>
        <family val="3"/>
        <charset val="128"/>
      </rPr>
      <t>（kg）</t>
    </r>
    <phoneticPr fontId="1"/>
  </si>
  <si>
    <r>
      <t>2CHF</t>
    </r>
    <r>
      <rPr>
        <vertAlign val="subscript"/>
        <sz val="11"/>
        <color theme="1"/>
        <rFont val="Meiryo UI"/>
        <family val="3"/>
        <charset val="128"/>
      </rPr>
      <t>3</t>
    </r>
    <r>
      <rPr>
        <sz val="11"/>
        <color theme="1"/>
        <rFont val="Meiryo UI"/>
        <family val="3"/>
        <charset val="128"/>
      </rPr>
      <t>+SiO</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2</t>
    </r>
    <r>
      <rPr>
        <sz val="11"/>
        <color theme="1"/>
        <rFont val="Meiryo UI"/>
        <family val="3"/>
        <charset val="128"/>
      </rPr>
      <t xml:space="preserve"> → 2CO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+2HF</t>
    </r>
    <phoneticPr fontId="1"/>
  </si>
  <si>
    <t>6CHF3+Si3N4+6O2 → 6CO2+3SiF4+6HF+2N2</t>
    <phoneticPr fontId="1"/>
  </si>
  <si>
    <r>
      <t>SiF</t>
    </r>
    <r>
      <rPr>
        <vertAlign val="subscript"/>
        <sz val="11"/>
        <color theme="1"/>
        <rFont val="Meiryo UI"/>
        <family val="3"/>
        <charset val="128"/>
      </rPr>
      <t>4</t>
    </r>
    <phoneticPr fontId="1"/>
  </si>
  <si>
    <r>
      <t>NH</t>
    </r>
    <r>
      <rPr>
        <vertAlign val="subscript"/>
        <sz val="11"/>
        <color theme="1"/>
        <rFont val="Meiryo UI"/>
        <family val="3"/>
        <charset val="128"/>
      </rPr>
      <t>3</t>
    </r>
    <phoneticPr fontId="1"/>
  </si>
  <si>
    <r>
      <t>H</t>
    </r>
    <r>
      <rPr>
        <vertAlign val="subscript"/>
        <sz val="11"/>
        <color theme="1"/>
        <rFont val="Meiryo UI"/>
        <family val="3"/>
        <charset val="128"/>
      </rPr>
      <t>2</t>
    </r>
    <r>
      <rPr>
        <sz val="11"/>
        <color theme="1"/>
        <rFont val="Meiryo UI"/>
        <family val="3"/>
        <charset val="128"/>
      </rPr>
      <t>O</t>
    </r>
    <phoneticPr fontId="1"/>
  </si>
  <si>
    <r>
      <t>N</t>
    </r>
    <r>
      <rPr>
        <vertAlign val="subscript"/>
        <sz val="11"/>
        <color theme="1"/>
        <rFont val="Meiryo UI"/>
        <family val="3"/>
        <charset val="128"/>
      </rPr>
      <t>2</t>
    </r>
    <phoneticPr fontId="1"/>
  </si>
  <si>
    <r>
      <t>4CH</t>
    </r>
    <r>
      <rPr>
        <vertAlign val="subscript"/>
        <sz val="11"/>
        <color theme="1"/>
        <rFont val="Meiryo UI"/>
        <family val="3"/>
        <charset val="128"/>
      </rPr>
      <t>3</t>
    </r>
    <r>
      <rPr>
        <sz val="11"/>
        <color theme="1"/>
        <rFont val="Meiryo UI"/>
        <family val="3"/>
        <charset val="128"/>
      </rPr>
      <t>F+SiO</t>
    </r>
    <r>
      <rPr>
        <vertAlign val="subscript"/>
        <sz val="11"/>
        <color theme="1"/>
        <rFont val="Meiryo UI"/>
        <family val="3"/>
        <charset val="128"/>
      </rPr>
      <t>2</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4CO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+6H</t>
    </r>
    <r>
      <rPr>
        <vertAlign val="subscript"/>
        <sz val="11"/>
        <color theme="1"/>
        <rFont val="Meiryo UI"/>
        <family val="3"/>
        <charset val="128"/>
      </rPr>
      <t>2</t>
    </r>
    <r>
      <rPr>
        <sz val="11"/>
        <color theme="1"/>
        <rFont val="Meiryo UI"/>
        <family val="3"/>
        <charset val="128"/>
      </rPr>
      <t>O</t>
    </r>
    <phoneticPr fontId="1"/>
  </si>
  <si>
    <r>
      <t>2CH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+SiO</t>
    </r>
    <r>
      <rPr>
        <vertAlign val="subscript"/>
        <sz val="11"/>
        <color theme="1"/>
        <rFont val="Meiryo UI"/>
        <family val="3"/>
        <charset val="128"/>
      </rPr>
      <t>2</t>
    </r>
    <r>
      <rPr>
        <sz val="11"/>
        <color theme="1"/>
        <rFont val="Meiryo UI"/>
        <family val="3"/>
        <charset val="128"/>
      </rPr>
      <t>+2O</t>
    </r>
    <r>
      <rPr>
        <vertAlign val="subscript"/>
        <sz val="11"/>
        <color theme="1"/>
        <rFont val="Meiryo UI"/>
        <family val="3"/>
        <charset val="128"/>
      </rPr>
      <t>2</t>
    </r>
    <r>
      <rPr>
        <sz val="11"/>
        <color theme="1"/>
        <rFont val="Meiryo UI"/>
        <family val="3"/>
        <charset val="128"/>
      </rPr>
      <t xml:space="preserve"> → SiF</t>
    </r>
    <r>
      <rPr>
        <vertAlign val="subscript"/>
        <sz val="11"/>
        <color theme="1"/>
        <rFont val="Meiryo UI"/>
        <family val="3"/>
        <charset val="128"/>
      </rPr>
      <t>4</t>
    </r>
    <r>
      <rPr>
        <sz val="11"/>
        <color theme="1"/>
        <rFont val="Meiryo UI"/>
        <family val="3"/>
        <charset val="128"/>
      </rPr>
      <t>+2CO</t>
    </r>
    <r>
      <rPr>
        <vertAlign val="subscript"/>
        <sz val="11"/>
        <color theme="1"/>
        <rFont val="Meiryo UI"/>
        <family val="3"/>
        <charset val="128"/>
      </rPr>
      <t>2</t>
    </r>
    <r>
      <rPr>
        <sz val="11"/>
        <color theme="1"/>
        <rFont val="Meiryo UI"/>
        <family val="3"/>
        <charset val="128"/>
      </rPr>
      <t>+2H</t>
    </r>
    <r>
      <rPr>
        <vertAlign val="subscript"/>
        <sz val="11"/>
        <color theme="1"/>
        <rFont val="Meiryo UI"/>
        <family val="3"/>
        <charset val="128"/>
      </rPr>
      <t>2</t>
    </r>
    <r>
      <rPr>
        <sz val="11"/>
        <color theme="1"/>
        <rFont val="Meiryo UI"/>
        <family val="3"/>
        <charset val="128"/>
      </rPr>
      <t>O</t>
    </r>
    <phoneticPr fontId="1"/>
  </si>
  <si>
    <r>
      <t>6CH2F</t>
    </r>
    <r>
      <rPr>
        <vertAlign val="subscript"/>
        <sz val="11"/>
        <color theme="1"/>
        <rFont val="Meiryo UI"/>
        <family val="3"/>
        <charset val="128"/>
      </rPr>
      <t>2</t>
    </r>
    <r>
      <rPr>
        <sz val="11"/>
        <color theme="1"/>
        <rFont val="Meiryo UI"/>
        <family val="3"/>
        <charset val="128"/>
      </rPr>
      <t>+3O2+Si</t>
    </r>
    <r>
      <rPr>
        <vertAlign val="subscript"/>
        <sz val="11"/>
        <color theme="1"/>
        <rFont val="Meiryo UI"/>
        <family val="3"/>
        <charset val="128"/>
      </rPr>
      <t>3</t>
    </r>
    <r>
      <rPr>
        <sz val="11"/>
        <color theme="1"/>
        <rFont val="Meiryo UI"/>
        <family val="3"/>
        <charset val="128"/>
      </rPr>
      <t>N</t>
    </r>
    <r>
      <rPr>
        <vertAlign val="subscript"/>
        <sz val="11"/>
        <color theme="1"/>
        <rFont val="Meiryo UI"/>
        <family val="3"/>
        <charset val="128"/>
      </rPr>
      <t>4</t>
    </r>
    <r>
      <rPr>
        <sz val="11"/>
        <color theme="1"/>
        <rFont val="Meiryo UI"/>
        <family val="3"/>
        <charset val="128"/>
      </rPr>
      <t xml:space="preserve"> → 3SiF</t>
    </r>
    <r>
      <rPr>
        <vertAlign val="subscript"/>
        <sz val="11"/>
        <color theme="1"/>
        <rFont val="Meiryo UI"/>
        <family val="3"/>
        <charset val="128"/>
      </rPr>
      <t>4</t>
    </r>
    <r>
      <rPr>
        <sz val="11"/>
        <color theme="1"/>
        <rFont val="Meiryo UI"/>
        <family val="3"/>
        <charset val="128"/>
      </rPr>
      <t>+2HCN+2NH</t>
    </r>
    <r>
      <rPr>
        <vertAlign val="subscript"/>
        <sz val="11"/>
        <color theme="1"/>
        <rFont val="Meiryo UI"/>
        <family val="3"/>
        <charset val="128"/>
      </rPr>
      <t>3</t>
    </r>
    <r>
      <rPr>
        <sz val="11"/>
        <color theme="1"/>
        <rFont val="Meiryo UI"/>
        <family val="3"/>
        <charset val="128"/>
      </rPr>
      <t>+4CO+2H2O</t>
    </r>
    <phoneticPr fontId="1"/>
  </si>
  <si>
    <t>数量(kg)</t>
    <rPh sb="0" eb="2">
      <t>スウリョウ</t>
    </rPh>
    <phoneticPr fontId="5"/>
  </si>
  <si>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</si>
  <si>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</si>
  <si>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</si>
  <si>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</si>
  <si>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</si>
  <si>
    <t>神奈川県横浜市磯子区根岸1-2-3</t>
    <rPh sb="0" eb="4">
      <t>カナガワケン</t>
    </rPh>
    <rPh sb="4" eb="7">
      <t>ヨコハマシ</t>
    </rPh>
    <rPh sb="7" eb="10">
      <t>イソゴク</t>
    </rPh>
    <rPh sb="10" eb="12">
      <t>ネギシ</t>
    </rPh>
    <phoneticPr fontId="1"/>
  </si>
  <si>
    <t>※ この様式は、残ガス返却無しの様式です。</t>
    <rPh sb="4" eb="6">
      <t>ヨウシキ</t>
    </rPh>
    <rPh sb="8" eb="9">
      <t>ザン</t>
    </rPh>
    <rPh sb="11" eb="13">
      <t>ヘンキャク</t>
    </rPh>
    <rPh sb="13" eb="14">
      <t>ナ</t>
    </rPh>
    <rPh sb="16" eb="18">
      <t>ヨウシキ</t>
    </rPh>
    <phoneticPr fontId="1"/>
  </si>
  <si>
    <t>HFC32</t>
    <phoneticPr fontId="5"/>
  </si>
  <si>
    <t>HFC41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</si>
</sst>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2">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3">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0" fillId="5" borderId="1" xfId="0"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0" fillId="7" borderId="0" xfId="0" applyFill="1" applyBorder="1" applyAlignment="1">
      <alignment horizontal="center"/>
    </xf>
    <xf numFmtId="0" fontId="0" fillId="7" borderId="0" xfId="0" applyFill="1" applyAlignment="1"/>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26" fillId="7" borderId="0" xfId="0" applyFont="1" applyFill="1" applyAlignment="1"/>
    <xf numFmtId="0" fontId="0" fillId="7" borderId="0" xfId="0" applyFill="1" applyAlignment="1">
      <alignment vertical="center"/>
    </xf>
    <xf numFmtId="0" fontId="8" fillId="0" borderId="0" xfId="1" applyFont="1"/>
    <xf numFmtId="0" fontId="28" fillId="0" borderId="0" xfId="0" applyFont="1" applyAlignment="1">
      <alignment horizontal="left" vertical="center"/>
    </xf>
    <xf numFmtId="0" fontId="27" fillId="0" borderId="0" xfId="0" applyFont="1" applyAlignment="1">
      <alignment horizontal="left" vertical="center"/>
    </xf>
    <xf numFmtId="0" fontId="29"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10" borderId="1" xfId="0" applyNumberFormat="1" applyFont="1" applyFill="1" applyBorder="1" applyAlignment="1" applyProtection="1">
      <alignment horizontal="left"/>
      <protection locked="0"/>
    </xf>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8" fillId="8" borderId="0" xfId="0" applyNumberFormat="1" applyFont="1" applyFill="1" applyBorder="1" applyAlignment="1">
      <alignment horizontal="center" vertical="center"/>
    </xf>
    <xf numFmtId="0" fontId="30" fillId="7" borderId="0" xfId="0" applyFont="1" applyFill="1" applyAlignment="1"/>
    <xf numFmtId="0" fontId="30" fillId="10" borderId="1" xfId="0" applyFont="1" applyFill="1" applyBorder="1" applyAlignment="1">
      <alignment horizontal="center"/>
    </xf>
    <xf numFmtId="0" fontId="31" fillId="7" borderId="0" xfId="0" applyFont="1" applyFill="1" applyAlignment="1"/>
    <xf numFmtId="0" fontId="17" fillId="7" borderId="0" xfId="0" applyFont="1" applyFill="1" applyAlignment="1">
      <alignment wrapText="1"/>
    </xf>
    <xf numFmtId="0" fontId="30" fillId="7" borderId="0" xfId="0" applyFont="1" applyFill="1" applyBorder="1" applyAlignment="1">
      <alignment horizontal="center"/>
    </xf>
    <xf numFmtId="0" fontId="32" fillId="7" borderId="0" xfId="0" applyFont="1" applyFill="1" applyAlignment="1">
      <alignment vertical="center" wrapText="1"/>
    </xf>
    <xf numFmtId="0" fontId="30" fillId="9" borderId="1" xfId="0" applyFont="1" applyFill="1" applyBorder="1" applyAlignment="1">
      <alignment horizontal="center"/>
    </xf>
    <xf numFmtId="0" fontId="30" fillId="8" borderId="1" xfId="0" applyFont="1" applyFill="1" applyBorder="1" applyAlignment="1">
      <alignment horizontal="center"/>
    </xf>
    <xf numFmtId="0" fontId="30" fillId="0" borderId="0" xfId="0" applyFont="1">
      <alignment vertical="center"/>
    </xf>
    <xf numFmtId="0" fontId="19" fillId="0" borderId="0" xfId="1" applyFont="1" applyAlignment="1">
      <alignment vertical="center"/>
    </xf>
    <xf numFmtId="0" fontId="30" fillId="0" borderId="0" xfId="0" applyFont="1" applyAlignment="1">
      <alignment vertical="center" wrapText="1"/>
    </xf>
    <xf numFmtId="0" fontId="30" fillId="7" borderId="0" xfId="0" applyFont="1" applyFill="1">
      <alignment vertical="center"/>
    </xf>
    <xf numFmtId="0" fontId="33" fillId="7" borderId="0" xfId="0" applyFont="1" applyFill="1">
      <alignment vertical="center"/>
    </xf>
    <xf numFmtId="0" fontId="34" fillId="7" borderId="0" xfId="0" applyFont="1" applyFill="1" applyBorder="1" applyAlignment="1">
      <alignment vertical="center"/>
    </xf>
    <xf numFmtId="0" fontId="35" fillId="7" borderId="0" xfId="0" applyFont="1" applyFill="1" applyBorder="1" applyAlignment="1"/>
    <xf numFmtId="0" fontId="34" fillId="7" borderId="0" xfId="0" applyFont="1" applyFill="1">
      <alignment vertical="center"/>
    </xf>
    <xf numFmtId="0" fontId="35" fillId="7" borderId="0" xfId="0" applyFont="1" applyFill="1" applyAlignment="1"/>
    <xf numFmtId="0" fontId="30" fillId="7" borderId="12" xfId="0" applyFont="1" applyFill="1" applyBorder="1" applyAlignment="1">
      <alignment vertical="center"/>
    </xf>
    <xf numFmtId="0" fontId="30"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lignment vertical="center"/>
    </xf>
    <xf numFmtId="0" fontId="30" fillId="7" borderId="1" xfId="0" applyFont="1" applyFill="1" applyBorder="1">
      <alignment vertical="center"/>
    </xf>
    <xf numFmtId="14" fontId="34" fillId="0" borderId="16" xfId="0" applyNumberFormat="1" applyFont="1" applyBorder="1" applyAlignment="1">
      <alignment horizontal="center" vertical="center" wrapText="1"/>
    </xf>
    <xf numFmtId="0" fontId="34" fillId="0" borderId="17" xfId="0" applyFont="1" applyBorder="1" applyAlignment="1">
      <alignment horizontal="center" vertical="center" wrapText="1"/>
    </xf>
    <xf numFmtId="14" fontId="34" fillId="0" borderId="18" xfId="0" applyNumberFormat="1" applyFont="1" applyBorder="1" applyAlignment="1">
      <alignment horizontal="center" vertical="center" wrapText="1"/>
    </xf>
    <xf numFmtId="0" fontId="34" fillId="0" borderId="1" xfId="0" applyFont="1" applyFill="1" applyBorder="1" applyAlignment="1" applyProtection="1">
      <alignment vertical="center" wrapText="1"/>
      <protection locked="0"/>
    </xf>
    <xf numFmtId="181" fontId="34" fillId="0" borderId="1" xfId="0" applyNumberFormat="1" applyFont="1" applyBorder="1" applyAlignment="1">
      <alignment vertical="center" shrinkToFit="1"/>
    </xf>
    <xf numFmtId="182" fontId="34" fillId="0" borderId="1" xfId="3" applyNumberFormat="1" applyFont="1" applyFill="1" applyBorder="1" applyAlignment="1">
      <alignment vertical="center" shrinkToFit="1"/>
    </xf>
    <xf numFmtId="180" fontId="34" fillId="0" borderId="1" xfId="2" applyNumberFormat="1" applyFont="1" applyFill="1" applyBorder="1" applyAlignment="1">
      <alignment vertical="center" wrapText="1"/>
    </xf>
    <xf numFmtId="181" fontId="34" fillId="0" borderId="1" xfId="0" applyNumberFormat="1" applyFont="1" applyFill="1" applyBorder="1" applyAlignment="1">
      <alignment vertical="center" shrinkToFit="1"/>
    </xf>
    <xf numFmtId="178" fontId="34" fillId="0" borderId="1" xfId="3" applyNumberFormat="1" applyFont="1" applyFill="1" applyBorder="1">
      <alignment vertical="center"/>
    </xf>
    <xf numFmtId="9" fontId="34" fillId="0" borderId="1" xfId="2" applyFont="1" applyFill="1" applyBorder="1">
      <alignment vertical="center"/>
    </xf>
    <xf numFmtId="0" fontId="34" fillId="0" borderId="1" xfId="2" applyNumberFormat="1" applyFont="1" applyFill="1" applyBorder="1">
      <alignment vertical="center"/>
    </xf>
    <xf numFmtId="179" fontId="34" fillId="0" borderId="1" xfId="2" applyNumberFormat="1" applyFont="1" applyFill="1" applyBorder="1" applyAlignment="1">
      <alignment vertical="center" shrinkToFit="1"/>
    </xf>
    <xf numFmtId="180" fontId="34" fillId="0" borderId="1" xfId="2" applyNumberFormat="1" applyFont="1" applyFill="1" applyBorder="1" applyAlignment="1">
      <alignment vertical="center" shrinkToFit="1"/>
    </xf>
    <xf numFmtId="178" fontId="34" fillId="0" borderId="1" xfId="3" applyNumberFormat="1" applyFont="1" applyFill="1" applyBorder="1" applyAlignment="1">
      <alignment vertical="center" shrinkToFit="1"/>
    </xf>
    <xf numFmtId="179" fontId="34" fillId="0" borderId="1" xfId="0" applyNumberFormat="1" applyFont="1" applyFill="1" applyBorder="1" applyAlignment="1">
      <alignment vertical="center" wrapText="1"/>
    </xf>
    <xf numFmtId="179" fontId="34" fillId="0" borderId="1" xfId="3" applyNumberFormat="1" applyFont="1" applyFill="1" applyBorder="1">
      <alignment vertical="center"/>
    </xf>
    <xf numFmtId="179" fontId="34" fillId="0" borderId="1" xfId="0" applyNumberFormat="1" applyFont="1" applyFill="1" applyBorder="1" applyAlignment="1">
      <alignment vertical="center" shrinkToFit="1"/>
    </xf>
    <xf numFmtId="0" fontId="30"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0" fontId="11" fillId="10" borderId="17" xfId="0"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30" fillId="9" borderId="1" xfId="0" applyFont="1" applyFill="1" applyBorder="1" applyAlignment="1" applyProtection="1">
      <alignment vertical="center" wrapText="1"/>
      <protection locked="0"/>
    </xf>
    <xf numFmtId="181" fontId="30" fillId="10" borderId="1" xfId="0" applyNumberFormat="1" applyFont="1" applyFill="1" applyBorder="1" applyAlignment="1" applyProtection="1">
      <alignment vertical="center" shrinkToFit="1"/>
      <protection locked="0"/>
    </xf>
    <xf numFmtId="182" fontId="30" fillId="8" borderId="1" xfId="3" applyNumberFormat="1" applyFont="1" applyFill="1" applyBorder="1" applyAlignment="1" applyProtection="1">
      <alignment vertical="center" shrinkToFit="1"/>
      <protection locked="0"/>
    </xf>
    <xf numFmtId="180" fontId="30" fillId="9" borderId="1" xfId="2" applyNumberFormat="1" applyFont="1" applyFill="1" applyBorder="1" applyAlignment="1" applyProtection="1">
      <alignment vertical="center" wrapText="1"/>
      <protection locked="0"/>
    </xf>
    <xf numFmtId="181" fontId="30" fillId="11" borderId="1" xfId="0" applyNumberFormat="1" applyFont="1" applyFill="1" applyBorder="1" applyAlignment="1" applyProtection="1">
      <alignment vertical="center" shrinkToFit="1"/>
      <protection locked="0"/>
    </xf>
    <xf numFmtId="178" fontId="30" fillId="2" borderId="1" xfId="3" applyNumberFormat="1" applyFont="1" applyFill="1" applyBorder="1" applyProtection="1">
      <alignment vertical="center"/>
      <protection locked="0"/>
    </xf>
    <xf numFmtId="181" fontId="30" fillId="8" borderId="1" xfId="0" applyNumberFormat="1" applyFont="1" applyFill="1" applyBorder="1" applyAlignment="1" applyProtection="1">
      <alignment vertical="center" shrinkToFit="1"/>
      <protection locked="0"/>
    </xf>
    <xf numFmtId="9" fontId="30" fillId="8" borderId="1" xfId="2" applyFont="1" applyFill="1" applyBorder="1" applyProtection="1">
      <alignment vertical="center"/>
      <protection locked="0"/>
    </xf>
    <xf numFmtId="0" fontId="30" fillId="0" borderId="1" xfId="2" applyNumberFormat="1" applyFont="1" applyFill="1" applyBorder="1" applyProtection="1">
      <alignment vertical="center"/>
      <protection locked="0"/>
    </xf>
    <xf numFmtId="180" fontId="30" fillId="9" borderId="1" xfId="2" applyNumberFormat="1" applyFont="1" applyFill="1" applyBorder="1" applyAlignment="1" applyProtection="1">
      <alignment vertical="center" shrinkToFit="1"/>
      <protection locked="0"/>
    </xf>
    <xf numFmtId="178" fontId="30" fillId="8" borderId="1" xfId="3" applyNumberFormat="1" applyFont="1" applyFill="1" applyBorder="1" applyAlignment="1" applyProtection="1">
      <alignment vertical="center" shrinkToFit="1"/>
      <protection locked="0"/>
    </xf>
    <xf numFmtId="179" fontId="30" fillId="2" borderId="1" xfId="0" applyNumberFormat="1" applyFont="1" applyFill="1" applyBorder="1" applyAlignment="1" applyProtection="1">
      <alignment vertical="center" wrapText="1"/>
      <protection locked="0"/>
    </xf>
    <xf numFmtId="179" fontId="30" fillId="2" borderId="1" xfId="3" applyNumberFormat="1" applyFont="1" applyFill="1" applyBorder="1" applyProtection="1">
      <alignment vertical="center"/>
      <protection locked="0"/>
    </xf>
    <xf numFmtId="0" fontId="11" fillId="10" borderId="16" xfId="0" applyFont="1" applyFill="1" applyBorder="1" applyAlignment="1" applyProtection="1">
      <alignment horizontal="center" vertical="center" wrapText="1"/>
      <protection locked="0"/>
    </xf>
    <xf numFmtId="0" fontId="11" fillId="10" borderId="18" xfId="0" applyFont="1" applyFill="1" applyBorder="1" applyAlignment="1" applyProtection="1">
      <alignment horizontal="center" vertical="center" wrapText="1"/>
      <protection locked="0"/>
    </xf>
    <xf numFmtId="0" fontId="11" fillId="9"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30" fillId="13" borderId="5" xfId="0"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1" xfId="0" applyFont="1" applyFill="1" applyBorder="1" applyAlignment="1">
      <alignment horizontal="center" vertical="center"/>
    </xf>
    <xf numFmtId="0" fontId="30" fillId="2" borderId="1" xfId="0" applyFont="1" applyFill="1" applyBorder="1" applyAlignment="1">
      <alignment vertical="center" wrapText="1"/>
    </xf>
    <xf numFmtId="0" fontId="30" fillId="0" borderId="1" xfId="0" applyFont="1" applyFill="1" applyBorder="1" applyAlignment="1">
      <alignment vertical="center"/>
    </xf>
    <xf numFmtId="9" fontId="30" fillId="0" borderId="1" xfId="2" applyFont="1" applyBorder="1">
      <alignment vertical="center"/>
    </xf>
    <xf numFmtId="0" fontId="30" fillId="2" borderId="1" xfId="0" applyFont="1" applyFill="1" applyBorder="1">
      <alignment vertical="center"/>
    </xf>
    <xf numFmtId="0" fontId="30" fillId="0" borderId="1" xfId="0" applyFont="1" applyFill="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9" fontId="30" fillId="4" borderId="3" xfId="2" applyFont="1" applyFill="1" applyBorder="1">
      <alignment vertical="center"/>
    </xf>
    <xf numFmtId="0" fontId="30" fillId="4" borderId="1" xfId="0" applyFont="1" applyFill="1" applyBorder="1">
      <alignment vertical="center"/>
    </xf>
    <xf numFmtId="0" fontId="30" fillId="4" borderId="16" xfId="0" applyFont="1" applyFill="1" applyBorder="1">
      <alignment vertical="center"/>
    </xf>
    <xf numFmtId="0" fontId="30" fillId="4" borderId="17" xfId="0" applyFont="1" applyFill="1" applyBorder="1">
      <alignment vertical="center"/>
    </xf>
    <xf numFmtId="0" fontId="30" fillId="4" borderId="18" xfId="0" applyFont="1" applyFill="1" applyBorder="1">
      <alignment vertical="center"/>
    </xf>
    <xf numFmtId="0" fontId="30" fillId="2" borderId="1" xfId="0" applyFont="1" applyFill="1" applyBorder="1" applyAlignment="1">
      <alignment vertical="center"/>
    </xf>
    <xf numFmtId="0" fontId="39" fillId="7" borderId="1" xfId="0" applyFont="1" applyFill="1" applyBorder="1" applyAlignment="1">
      <alignment horizontal="center" vertical="center" shrinkToFit="1"/>
    </xf>
    <xf numFmtId="0" fontId="30" fillId="7" borderId="0" xfId="5" applyFont="1" applyFill="1">
      <alignment vertical="center"/>
    </xf>
    <xf numFmtId="0" fontId="11" fillId="7" borderId="0" xfId="5" applyFont="1" applyFill="1">
      <alignment vertical="center"/>
    </xf>
    <xf numFmtId="0" fontId="41" fillId="7" borderId="0" xfId="5" applyFont="1" applyFill="1">
      <alignment vertical="center"/>
    </xf>
    <xf numFmtId="0" fontId="31" fillId="6" borderId="6" xfId="5" applyFont="1" applyFill="1" applyBorder="1" applyAlignment="1">
      <alignment horizontal="left" vertical="center" indent="4"/>
    </xf>
    <xf numFmtId="0" fontId="31"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30"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30" fillId="6" borderId="5" xfId="5" applyFont="1" applyFill="1" applyBorder="1" applyAlignment="1">
      <alignment horizontal="center" vertical="center"/>
    </xf>
    <xf numFmtId="0" fontId="30" fillId="6" borderId="1" xfId="5" applyFont="1" applyFill="1" applyBorder="1" applyAlignment="1">
      <alignment horizontal="center" vertical="center"/>
    </xf>
    <xf numFmtId="179" fontId="30" fillId="0" borderId="1" xfId="0" applyNumberFormat="1" applyFont="1" applyBorder="1" applyAlignment="1">
      <alignment vertical="center" shrinkToFit="1"/>
    </xf>
    <xf numFmtId="179" fontId="30" fillId="0" borderId="1" xfId="3" applyNumberFormat="1" applyFont="1" applyBorder="1" applyAlignment="1">
      <alignment vertical="center" shrinkToFit="1"/>
    </xf>
    <xf numFmtId="183" fontId="30" fillId="0" borderId="1" xfId="0" applyNumberFormat="1" applyFont="1" applyBorder="1" applyAlignment="1">
      <alignment vertical="center" shrinkToFit="1"/>
    </xf>
    <xf numFmtId="183" fontId="30" fillId="0" borderId="1" xfId="3" applyNumberFormat="1" applyFont="1" applyBorder="1" applyAlignment="1">
      <alignment vertical="center" shrinkToFit="1"/>
    </xf>
    <xf numFmtId="0" fontId="17" fillId="6" borderId="6" xfId="5" applyFont="1" applyFill="1" applyBorder="1" applyAlignment="1">
      <alignment horizontal="left" vertical="center" indent="5"/>
    </xf>
    <xf numFmtId="0" fontId="20" fillId="7" borderId="0" xfId="0" applyFont="1" applyFill="1" applyAlignment="1">
      <alignment vertical="top"/>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left" vertical="center" wrapText="1"/>
      <protection locked="0"/>
    </xf>
    <xf numFmtId="0" fontId="13" fillId="4" borderId="0" xfId="1" applyFont="1" applyFill="1" applyBorder="1" applyAlignment="1">
      <alignment horizontal="center" vertical="center"/>
    </xf>
    <xf numFmtId="49" fontId="19" fillId="10" borderId="1" xfId="1"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wrapText="1"/>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6" xfId="0" applyFont="1" applyFill="1" applyBorder="1" applyAlignment="1">
      <alignment horizontal="center" vertical="center"/>
    </xf>
    <xf numFmtId="0" fontId="30" fillId="13" borderId="7" xfId="0" applyFont="1" applyFill="1" applyBorder="1" applyAlignment="1">
      <alignment horizontal="center" vertical="center"/>
    </xf>
    <xf numFmtId="0" fontId="30" fillId="13" borderId="5" xfId="0" applyFont="1" applyFill="1" applyBorder="1" applyAlignment="1">
      <alignment horizontal="center" vertical="center"/>
    </xf>
    <xf numFmtId="0" fontId="30" fillId="13" borderId="13"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0" fillId="7" borderId="0" xfId="0" applyFill="1" applyAlignment="1">
      <alignment horizontal="center" vertical="top" wrapText="1"/>
    </xf>
    <xf numFmtId="0" fontId="30" fillId="13" borderId="4"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5" xfId="0" applyFont="1" applyFill="1" applyBorder="1" applyAlignment="1">
      <alignment horizontal="center" vertical="center"/>
    </xf>
    <xf numFmtId="0" fontId="30" fillId="13" borderId="1" xfId="0" applyFont="1" applyFill="1" applyBorder="1" applyAlignment="1">
      <alignment horizontal="center" vertical="center"/>
    </xf>
    <xf numFmtId="0" fontId="30" fillId="6" borderId="1" xfId="5" applyFont="1" applyFill="1" applyBorder="1" applyAlignment="1">
      <alignment horizontal="center" vertical="center"/>
    </xf>
    <xf numFmtId="49" fontId="30"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3">
    <dxf>
      <fill>
        <patternFill>
          <bgColor theme="7" tint="0.79998168889431442"/>
        </patternFill>
      </fill>
    </dxf>
    <dxf>
      <fill>
        <patternFill>
          <bgColor theme="0" tint="-4.9989318521683403E-2"/>
        </patternFill>
      </fill>
    </dxf>
    <dxf>
      <fill>
        <patternFill>
          <bgColor theme="7" tint="0.59996337778862885"/>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56029</xdr:colOff>
      <xdr:row>38</xdr:row>
      <xdr:rowOff>156883</xdr:rowOff>
    </xdr:from>
    <xdr:to>
      <xdr:col>10</xdr:col>
      <xdr:colOff>580167</xdr:colOff>
      <xdr:row>38</xdr:row>
      <xdr:rowOff>1841499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662205" y="9233648"/>
          <a:ext cx="3788786" cy="168461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80" zoomScaleNormal="100" zoomScaleSheetLayoutView="80"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72"/>
      <c r="C1" s="23"/>
      <c r="D1" s="23"/>
      <c r="E1" s="23"/>
      <c r="F1" s="23"/>
      <c r="G1" s="23"/>
      <c r="H1" s="23"/>
      <c r="I1" s="23"/>
      <c r="J1" s="23"/>
      <c r="K1" s="23"/>
      <c r="L1" s="23"/>
      <c r="M1" s="23"/>
      <c r="N1" s="23"/>
      <c r="O1" s="23"/>
      <c r="P1" s="23"/>
    </row>
    <row r="2" spans="2:17" s="6" customFormat="1" ht="14.25">
      <c r="B2" s="5" t="s">
        <v>165</v>
      </c>
      <c r="C2" s="72"/>
      <c r="D2" s="72"/>
      <c r="E2" s="23"/>
      <c r="F2" s="23"/>
      <c r="G2" s="23"/>
      <c r="H2" s="23"/>
      <c r="I2" s="23"/>
      <c r="J2" s="23"/>
      <c r="K2" s="23"/>
      <c r="L2" s="23"/>
      <c r="M2" s="23"/>
      <c r="N2" s="23"/>
      <c r="O2" s="23"/>
      <c r="P2" s="23"/>
    </row>
    <row r="3" spans="2:17" s="6" customFormat="1" ht="14.25">
      <c r="B3" s="72"/>
      <c r="C3" s="72"/>
      <c r="D3" s="72"/>
      <c r="E3" s="23"/>
      <c r="F3" s="23"/>
      <c r="G3" s="23"/>
      <c r="H3" s="23"/>
      <c r="I3" s="23"/>
      <c r="J3" s="23"/>
      <c r="K3" s="23"/>
      <c r="L3" s="23"/>
      <c r="M3" s="23"/>
      <c r="N3" s="23"/>
      <c r="O3" s="23"/>
      <c r="P3" s="23"/>
    </row>
    <row r="4" spans="2:17" s="6" customFormat="1" ht="14.25">
      <c r="B4" s="202" t="s">
        <v>170</v>
      </c>
      <c r="C4" s="202"/>
      <c r="D4" s="202"/>
      <c r="E4" s="202"/>
      <c r="F4" s="202"/>
      <c r="G4" s="202"/>
      <c r="H4" s="202"/>
      <c r="I4" s="202"/>
      <c r="J4" s="202"/>
      <c r="K4" s="202"/>
      <c r="L4" s="202"/>
      <c r="M4" s="202"/>
      <c r="N4" s="202"/>
      <c r="O4" s="202"/>
      <c r="P4" s="202"/>
    </row>
    <row r="5" spans="2:17" s="6" customFormat="1" ht="14.25">
      <c r="B5" s="202" t="s">
        <v>169</v>
      </c>
      <c r="C5" s="202"/>
      <c r="D5" s="202"/>
      <c r="E5" s="202"/>
      <c r="F5" s="202"/>
      <c r="G5" s="202"/>
      <c r="H5" s="202"/>
      <c r="I5" s="202"/>
      <c r="J5" s="202"/>
      <c r="K5" s="202"/>
      <c r="L5" s="202"/>
      <c r="M5" s="202"/>
      <c r="N5" s="202"/>
      <c r="O5" s="202"/>
      <c r="P5" s="202"/>
    </row>
    <row r="6" spans="2:17" s="6" customFormat="1" ht="14.25">
      <c r="B6" s="72"/>
      <c r="C6" s="72"/>
      <c r="D6" s="72"/>
      <c r="E6" s="23"/>
      <c r="F6" s="23"/>
      <c r="G6" s="23"/>
      <c r="H6" s="23"/>
      <c r="I6" s="23"/>
      <c r="J6" s="23"/>
      <c r="K6" s="23"/>
      <c r="L6" s="23"/>
      <c r="M6" s="23"/>
      <c r="N6" s="23"/>
      <c r="O6" s="23"/>
      <c r="P6" s="23"/>
    </row>
    <row r="7" spans="2:17" ht="21" customHeight="1">
      <c r="B7" s="9" t="s">
        <v>164</v>
      </c>
      <c r="C7" s="9"/>
      <c r="D7" s="25"/>
      <c r="E7" s="24"/>
      <c r="F7" s="24"/>
      <c r="G7" s="24"/>
      <c r="H7" s="24"/>
      <c r="I7" s="24"/>
      <c r="J7" s="24"/>
      <c r="K7" s="24"/>
      <c r="L7" s="24"/>
      <c r="M7" s="24"/>
      <c r="N7" s="24"/>
      <c r="O7" s="24"/>
      <c r="P7" s="24"/>
    </row>
    <row r="8" spans="2:17" ht="21" customHeight="1">
      <c r="B8" s="9" t="s">
        <v>151</v>
      </c>
      <c r="C8" s="9"/>
      <c r="D8" s="25"/>
      <c r="E8" s="24"/>
      <c r="F8" s="24"/>
      <c r="G8" s="24"/>
      <c r="H8" s="24"/>
      <c r="I8" s="24"/>
      <c r="J8" s="24"/>
      <c r="K8" s="24"/>
      <c r="L8" s="24"/>
      <c r="M8" s="24"/>
      <c r="N8" s="24"/>
      <c r="O8" s="24"/>
      <c r="P8" s="24"/>
    </row>
    <row r="9" spans="2:17" s="7" customFormat="1" ht="21" customHeight="1">
      <c r="B9" s="25"/>
      <c r="C9" s="25"/>
      <c r="D9" s="25"/>
      <c r="E9" s="25"/>
      <c r="F9" s="25"/>
      <c r="G9" s="25"/>
      <c r="H9" s="25"/>
      <c r="I9" s="25"/>
      <c r="J9" s="87">
        <f>別紙１!C17</f>
        <v>0</v>
      </c>
      <c r="K9" s="26" t="s">
        <v>65</v>
      </c>
      <c r="L9" s="87">
        <f>別紙１!E17</f>
        <v>0</v>
      </c>
      <c r="M9" s="26" t="s">
        <v>66</v>
      </c>
      <c r="N9" s="87">
        <f>別紙１!G17</f>
        <v>0</v>
      </c>
      <c r="O9" s="26" t="s">
        <v>67</v>
      </c>
      <c r="P9" s="25"/>
      <c r="Q9" s="7" t="s">
        <v>120</v>
      </c>
    </row>
    <row r="10" spans="2:17" s="7" customFormat="1" ht="18" customHeight="1">
      <c r="B10" s="25"/>
      <c r="C10" s="25"/>
      <c r="D10" s="25"/>
      <c r="E10" s="25"/>
      <c r="F10" s="25"/>
      <c r="G10" s="25"/>
      <c r="H10" s="25"/>
      <c r="I10" s="25"/>
      <c r="J10" s="27"/>
      <c r="K10" s="27"/>
      <c r="L10" s="27"/>
      <c r="M10" s="27"/>
      <c r="N10" s="27"/>
      <c r="O10" s="27"/>
      <c r="P10" s="25"/>
    </row>
    <row r="11" spans="2:17" s="7" customFormat="1" ht="18" customHeight="1">
      <c r="B11" s="25"/>
      <c r="C11" s="25"/>
      <c r="D11" s="25"/>
      <c r="E11" s="25"/>
      <c r="F11" s="25"/>
      <c r="G11" s="25"/>
      <c r="H11" s="25"/>
      <c r="I11" s="25"/>
      <c r="J11" s="27"/>
      <c r="K11" s="28"/>
      <c r="L11" s="27"/>
      <c r="M11" s="27"/>
      <c r="N11" s="27"/>
      <c r="O11" s="27"/>
      <c r="P11" s="25"/>
    </row>
    <row r="12" spans="2:17" s="7" customFormat="1" ht="18" customHeight="1">
      <c r="B12" s="25"/>
      <c r="C12" s="25"/>
      <c r="D12" s="25"/>
      <c r="E12" s="25"/>
      <c r="F12" s="25"/>
      <c r="G12" s="25"/>
      <c r="H12" s="25"/>
      <c r="I12" s="25"/>
      <c r="J12" s="199" t="str">
        <f>別紙１!J20</f>
        <v>経産化学株式会社</v>
      </c>
      <c r="K12" s="199"/>
      <c r="L12" s="199"/>
      <c r="M12" s="199"/>
      <c r="N12" s="199"/>
      <c r="O12" s="199"/>
      <c r="P12" s="25"/>
      <c r="Q12" s="7" t="s">
        <v>120</v>
      </c>
    </row>
    <row r="13" spans="2:17" s="7" customFormat="1" ht="18" customHeight="1">
      <c r="B13" s="25"/>
      <c r="C13" s="25"/>
      <c r="D13" s="25"/>
      <c r="E13" s="25"/>
      <c r="F13" s="25"/>
      <c r="G13" s="25"/>
      <c r="H13" s="25"/>
      <c r="I13" s="25"/>
      <c r="J13" s="199" t="str">
        <f>別紙１!J21</f>
        <v>代表取締役社長</v>
      </c>
      <c r="K13" s="199"/>
      <c r="L13" s="199"/>
      <c r="M13" s="199"/>
      <c r="N13" s="199"/>
      <c r="O13" s="199"/>
      <c r="P13" s="25"/>
    </row>
    <row r="14" spans="2:17" s="7" customFormat="1" ht="18" customHeight="1">
      <c r="B14" s="25"/>
      <c r="C14" s="25"/>
      <c r="D14" s="25"/>
      <c r="E14" s="25"/>
      <c r="F14" s="25"/>
      <c r="G14" s="25"/>
      <c r="H14" s="25"/>
      <c r="I14" s="25"/>
      <c r="J14" s="200" t="str">
        <f>別紙１!J22</f>
        <v>経産　太郎</v>
      </c>
      <c r="K14" s="199"/>
      <c r="L14" s="199"/>
      <c r="M14" s="199"/>
      <c r="N14" s="199"/>
      <c r="O14" s="199"/>
      <c r="P14" s="25"/>
      <c r="Q14" s="7" t="s">
        <v>189</v>
      </c>
    </row>
    <row r="15" spans="2:17" ht="21" customHeight="1">
      <c r="B15" s="24"/>
      <c r="C15" s="24"/>
      <c r="D15" s="24"/>
      <c r="E15" s="24"/>
      <c r="F15" s="24"/>
      <c r="G15" s="24"/>
      <c r="H15" s="24"/>
      <c r="I15" s="24"/>
      <c r="J15" s="199" t="str">
        <f>別紙１!J24</f>
        <v>東京都千代田区霞が関１丁目３－１</v>
      </c>
      <c r="K15" s="199"/>
      <c r="L15" s="199"/>
      <c r="M15" s="199"/>
      <c r="N15" s="199"/>
      <c r="O15" s="199"/>
      <c r="P15" s="24"/>
    </row>
    <row r="16" spans="2:17" ht="21" customHeight="1">
      <c r="B16" s="24"/>
      <c r="C16" s="24"/>
      <c r="D16" s="24"/>
      <c r="E16" s="24"/>
      <c r="F16" s="24"/>
      <c r="G16" s="24"/>
      <c r="H16" s="24"/>
      <c r="I16" s="24"/>
      <c r="J16" s="201" t="str">
        <f>別紙１!J25</f>
        <v>1234567891011</v>
      </c>
      <c r="K16" s="201"/>
      <c r="L16" s="201"/>
      <c r="M16" s="201"/>
      <c r="N16" s="201"/>
      <c r="O16" s="201"/>
      <c r="P16" s="24"/>
    </row>
    <row r="17" spans="2:17" ht="21" customHeight="1">
      <c r="B17" s="24"/>
      <c r="C17" s="24"/>
      <c r="D17" s="24"/>
      <c r="E17" s="24"/>
      <c r="F17" s="24"/>
      <c r="G17" s="24"/>
      <c r="H17" s="24"/>
      <c r="I17" s="25"/>
      <c r="J17" s="24"/>
      <c r="K17" s="24"/>
      <c r="L17" s="24"/>
      <c r="M17" s="24"/>
      <c r="N17" s="24"/>
      <c r="O17" s="24"/>
      <c r="P17" s="24"/>
    </row>
    <row r="18" spans="2:17" s="6" customFormat="1" ht="14.25">
      <c r="B18" s="72" t="s">
        <v>216</v>
      </c>
      <c r="C18" s="23"/>
      <c r="D18" s="23"/>
      <c r="E18" s="23"/>
      <c r="F18" s="23"/>
      <c r="G18" s="23"/>
      <c r="H18" s="23"/>
      <c r="I18" s="23"/>
      <c r="J18" s="23"/>
      <c r="K18" s="23"/>
      <c r="L18" s="23"/>
      <c r="M18" s="23"/>
      <c r="N18" s="23"/>
      <c r="O18" s="23"/>
      <c r="P18" s="23"/>
    </row>
    <row r="19" spans="2:17" s="6" customFormat="1" ht="21" customHeight="1">
      <c r="B19" s="23"/>
      <c r="D19" s="23"/>
      <c r="E19" s="23"/>
      <c r="F19" s="23"/>
      <c r="G19" s="23"/>
      <c r="H19" s="23"/>
      <c r="I19" s="23"/>
      <c r="J19" s="23"/>
      <c r="K19" s="23"/>
      <c r="L19" s="23"/>
      <c r="M19" s="23"/>
      <c r="N19" s="23"/>
      <c r="O19" s="23"/>
      <c r="P19" s="23"/>
      <c r="Q19" s="6" t="s">
        <v>95</v>
      </c>
    </row>
    <row r="20" spans="2:17" ht="21" customHeight="1">
      <c r="B20" s="29"/>
      <c r="C20" s="24"/>
      <c r="D20" s="24"/>
      <c r="E20" s="24"/>
      <c r="F20" s="24"/>
      <c r="G20" s="24"/>
      <c r="H20" s="24"/>
      <c r="I20" s="24"/>
      <c r="J20" s="24"/>
      <c r="K20" s="24"/>
      <c r="L20" s="24"/>
      <c r="M20" s="24"/>
      <c r="N20" s="24"/>
      <c r="O20" s="24"/>
      <c r="P20" s="24"/>
    </row>
    <row r="21" spans="2:17" ht="21" customHeight="1">
      <c r="B21" s="24"/>
      <c r="C21" s="73" t="s">
        <v>152</v>
      </c>
      <c r="D21" s="24"/>
      <c r="E21" s="24"/>
      <c r="F21" s="24"/>
      <c r="G21" s="24"/>
      <c r="H21" s="24"/>
      <c r="I21" s="24"/>
      <c r="J21" s="24"/>
      <c r="K21" s="24"/>
      <c r="L21" s="24"/>
      <c r="M21" s="24"/>
      <c r="N21" s="24"/>
      <c r="O21" s="24"/>
      <c r="P21" s="24"/>
    </row>
    <row r="22" spans="2:17" ht="21" customHeight="1">
      <c r="B22" s="24"/>
      <c r="C22" s="73" t="s">
        <v>153</v>
      </c>
      <c r="D22" s="24"/>
      <c r="E22" s="24"/>
      <c r="F22" s="24"/>
      <c r="G22" s="24"/>
      <c r="H22" s="24"/>
      <c r="I22" s="24"/>
      <c r="J22" s="24"/>
      <c r="K22" s="24"/>
      <c r="L22" s="24"/>
      <c r="M22" s="24"/>
      <c r="N22" s="24"/>
      <c r="O22" s="24"/>
      <c r="P22" s="24"/>
    </row>
    <row r="23" spans="2:17" ht="21" customHeight="1">
      <c r="B23" s="24"/>
      <c r="C23" s="73" t="s">
        <v>154</v>
      </c>
      <c r="D23" s="24"/>
      <c r="E23" s="24"/>
      <c r="F23" s="24"/>
      <c r="G23" s="24"/>
      <c r="H23" s="24"/>
      <c r="I23" s="24"/>
      <c r="J23" s="24"/>
      <c r="K23" s="24"/>
      <c r="L23" s="24"/>
      <c r="M23" s="24"/>
      <c r="N23" s="24"/>
      <c r="O23" s="24"/>
      <c r="P23" s="24"/>
    </row>
    <row r="24" spans="2:17" ht="21" customHeight="1">
      <c r="B24" s="24"/>
      <c r="C24" s="73" t="s">
        <v>190</v>
      </c>
      <c r="D24" s="24"/>
      <c r="E24" s="24"/>
      <c r="F24" s="24"/>
      <c r="G24" s="24"/>
      <c r="H24" s="24"/>
      <c r="I24" s="24"/>
      <c r="J24" s="24"/>
      <c r="K24" s="24"/>
      <c r="L24" s="24"/>
      <c r="M24" s="24"/>
      <c r="N24" s="24"/>
      <c r="O24" s="24"/>
      <c r="P24" s="24"/>
    </row>
    <row r="25" spans="2:17" ht="21" customHeight="1">
      <c r="B25" s="24"/>
      <c r="C25" s="74"/>
      <c r="D25" s="24"/>
      <c r="E25" s="24"/>
      <c r="F25" s="24"/>
      <c r="G25" s="24"/>
      <c r="H25" s="24"/>
      <c r="I25" s="24"/>
      <c r="J25" s="24"/>
      <c r="K25" s="24"/>
      <c r="L25" s="24"/>
      <c r="M25" s="24"/>
      <c r="N25" s="24"/>
      <c r="O25" s="24"/>
      <c r="P25" s="24"/>
    </row>
    <row r="26" spans="2:17" ht="21" customHeight="1">
      <c r="B26" s="24"/>
      <c r="C26" s="74"/>
      <c r="D26" s="24"/>
      <c r="E26" s="24"/>
      <c r="F26" s="24"/>
      <c r="G26" s="24"/>
      <c r="H26" s="24"/>
      <c r="I26" s="24"/>
      <c r="J26" s="24"/>
      <c r="K26" s="24"/>
      <c r="L26" s="24"/>
      <c r="M26" s="24"/>
      <c r="N26" s="24"/>
      <c r="O26" s="24"/>
      <c r="P26" s="24"/>
    </row>
    <row r="27" spans="2:17" ht="21" customHeight="1">
      <c r="B27" s="24"/>
      <c r="C27" s="73" t="s">
        <v>155</v>
      </c>
      <c r="D27" s="24"/>
      <c r="E27" s="24"/>
      <c r="F27" s="24"/>
      <c r="G27" s="24"/>
      <c r="H27" s="24"/>
      <c r="I27" s="24"/>
      <c r="J27" s="24"/>
      <c r="K27" s="24"/>
      <c r="L27" s="24"/>
      <c r="M27" s="24"/>
      <c r="N27" s="24"/>
      <c r="O27" s="24"/>
      <c r="P27" s="24"/>
    </row>
    <row r="28" spans="2:17" ht="21" customHeight="1">
      <c r="B28" s="24"/>
      <c r="C28" s="73" t="s">
        <v>156</v>
      </c>
      <c r="D28" s="24"/>
      <c r="E28" s="24"/>
      <c r="F28" s="24"/>
      <c r="G28" s="24"/>
      <c r="H28" s="24"/>
      <c r="I28" s="24"/>
      <c r="J28" s="24"/>
      <c r="K28" s="24"/>
      <c r="L28" s="24"/>
      <c r="M28" s="24"/>
      <c r="N28" s="24"/>
      <c r="O28" s="24"/>
      <c r="P28" s="24"/>
    </row>
    <row r="29" spans="2:17" ht="21" customHeight="1">
      <c r="B29" s="24"/>
      <c r="C29" s="73" t="s">
        <v>157</v>
      </c>
      <c r="D29" s="24"/>
      <c r="E29" s="24"/>
      <c r="F29" s="24"/>
      <c r="G29" s="24"/>
      <c r="H29" s="24"/>
      <c r="I29" s="24"/>
      <c r="J29" s="24"/>
      <c r="K29" s="24"/>
      <c r="L29" s="24"/>
      <c r="M29" s="24"/>
      <c r="N29" s="24"/>
      <c r="O29" s="24"/>
      <c r="P29" s="24"/>
    </row>
    <row r="30" spans="2:17" ht="21" customHeight="1">
      <c r="B30" s="24"/>
      <c r="C30" s="73" t="s">
        <v>158</v>
      </c>
      <c r="D30" s="24"/>
      <c r="E30" s="24"/>
      <c r="F30" s="24"/>
      <c r="G30" s="24"/>
      <c r="H30" s="24"/>
      <c r="I30" s="24"/>
      <c r="J30" s="24"/>
      <c r="K30" s="24"/>
      <c r="L30" s="24"/>
      <c r="M30" s="24"/>
      <c r="N30" s="24"/>
      <c r="O30" s="24"/>
      <c r="P30" s="24"/>
    </row>
    <row r="31" spans="2:17" ht="21" customHeight="1">
      <c r="B31" s="24"/>
      <c r="C31" s="73" t="s">
        <v>159</v>
      </c>
      <c r="D31" s="24"/>
      <c r="E31" s="24"/>
      <c r="F31" s="24"/>
      <c r="G31" s="24"/>
      <c r="H31" s="24"/>
      <c r="I31" s="24"/>
      <c r="J31" s="24"/>
      <c r="K31" s="24"/>
      <c r="L31" s="24"/>
      <c r="M31" s="24"/>
      <c r="N31" s="24"/>
      <c r="O31" s="24"/>
      <c r="P31" s="24"/>
    </row>
    <row r="32" spans="2:17" ht="21" customHeight="1">
      <c r="C32" s="73" t="s">
        <v>160</v>
      </c>
    </row>
    <row r="33" spans="3:5" ht="21" customHeight="1">
      <c r="C33" s="73" t="s">
        <v>161</v>
      </c>
    </row>
    <row r="34" spans="3:5" ht="21" customHeight="1">
      <c r="C34" s="73" t="s">
        <v>162</v>
      </c>
      <c r="D34" s="4"/>
    </row>
    <row r="35" spans="3:5" ht="21" customHeight="1">
      <c r="C35" s="73" t="s">
        <v>163</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X45uiUQGhvh5WoLINjFqzqnoH6KkP9dCngv4tK4Py8+xUmfsb38Oz+JcknDpZYpiXpM0JGYiZw4yVOwXIEWOUQ==" saltValue="1DasLS1FNWvfhydfRau6Qg==" spinCount="100000" sheet="1" objects="1" scenarios="1"/>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38" sqref="C38"/>
    </sheetView>
  </sheetViews>
  <sheetFormatPr defaultColWidth="8.75" defaultRowHeight="15.75"/>
  <cols>
    <col min="1" max="1" width="2.75" style="96" customWidth="1"/>
    <col min="2" max="2" width="9.75" style="96" customWidth="1"/>
    <col min="3" max="3" width="10.5" style="96" customWidth="1"/>
    <col min="4" max="4" width="3.25" style="96" customWidth="1"/>
    <col min="5" max="5" width="6.5" style="96" customWidth="1"/>
    <col min="6" max="6" width="4" style="96" customWidth="1"/>
    <col min="7" max="7" width="6.75" style="96" customWidth="1"/>
    <col min="8" max="14" width="8.75" style="96"/>
    <col min="15" max="15" width="14.875" style="96" customWidth="1"/>
    <col min="16" max="16" width="3.375" style="96" customWidth="1"/>
    <col min="17" max="17" width="6.5" style="96" customWidth="1"/>
    <col min="18" max="16384" width="8.75" style="96"/>
  </cols>
  <sheetData>
    <row r="1" spans="2:32" s="13" customFormat="1">
      <c r="B1" s="46"/>
      <c r="C1" s="46"/>
      <c r="D1" s="46"/>
      <c r="E1" s="46"/>
      <c r="F1" s="46"/>
      <c r="G1" s="46"/>
      <c r="H1" s="46"/>
      <c r="I1" s="46"/>
      <c r="J1" s="67"/>
      <c r="K1" s="68"/>
      <c r="L1" s="68"/>
      <c r="M1" s="46"/>
      <c r="N1" s="46"/>
      <c r="O1" s="46"/>
      <c r="P1" s="46"/>
      <c r="Q1" s="46"/>
    </row>
    <row r="2" spans="2:32" s="17" customFormat="1" ht="38.25" customHeight="1">
      <c r="B2" s="206" t="s">
        <v>172</v>
      </c>
      <c r="C2" s="206"/>
      <c r="D2" s="206"/>
      <c r="E2" s="206"/>
      <c r="F2" s="206"/>
      <c r="G2" s="206"/>
      <c r="H2" s="206"/>
      <c r="I2" s="206"/>
      <c r="J2" s="206"/>
      <c r="K2" s="206"/>
      <c r="L2" s="206"/>
      <c r="M2" s="206"/>
      <c r="N2" s="206"/>
      <c r="O2" s="206"/>
      <c r="P2" s="206"/>
      <c r="Q2" s="206"/>
    </row>
    <row r="3" spans="2:32" s="13" customFormat="1">
      <c r="B3" s="46"/>
      <c r="D3" s="46"/>
      <c r="E3" s="46"/>
      <c r="F3" s="46"/>
      <c r="G3" s="46"/>
      <c r="H3" s="46"/>
      <c r="I3" s="46"/>
      <c r="J3" s="67"/>
      <c r="K3" s="68"/>
      <c r="L3" s="68"/>
      <c r="M3" s="46"/>
      <c r="N3" s="46"/>
      <c r="O3" s="46"/>
      <c r="P3" s="46"/>
      <c r="Q3" s="46"/>
    </row>
    <row r="4" spans="2:32" s="13" customFormat="1" ht="15.75" customHeight="1">
      <c r="B4" s="88"/>
      <c r="C4" s="89" t="s">
        <v>97</v>
      </c>
      <c r="D4" s="90" t="s">
        <v>68</v>
      </c>
      <c r="E4" s="90"/>
      <c r="F4" s="88"/>
      <c r="G4" s="88"/>
      <c r="H4" s="91"/>
      <c r="I4" s="91"/>
      <c r="J4" s="67"/>
      <c r="K4" s="68"/>
      <c r="L4" s="68"/>
      <c r="M4" s="46"/>
      <c r="N4" s="46"/>
      <c r="O4" s="46"/>
      <c r="P4" s="46"/>
      <c r="Q4" s="46"/>
    </row>
    <row r="5" spans="2:32" s="13" customFormat="1" ht="14.25" customHeight="1">
      <c r="B5" s="88"/>
      <c r="C5" s="92"/>
      <c r="D5" s="90"/>
      <c r="E5" s="90"/>
      <c r="F5" s="88"/>
      <c r="G5" s="88"/>
      <c r="H5" s="93"/>
      <c r="I5" s="93"/>
      <c r="J5" s="67"/>
      <c r="K5" s="68"/>
      <c r="L5" s="68"/>
      <c r="M5" s="46"/>
      <c r="N5" s="46"/>
      <c r="O5" s="46"/>
      <c r="P5" s="46"/>
      <c r="Q5" s="46"/>
    </row>
    <row r="6" spans="2:32" s="13" customFormat="1" ht="14.25" customHeight="1">
      <c r="B6" s="88"/>
      <c r="C6" s="94" t="s">
        <v>71</v>
      </c>
      <c r="D6" s="90" t="s">
        <v>69</v>
      </c>
      <c r="E6" s="90"/>
      <c r="F6" s="88"/>
      <c r="G6" s="88"/>
      <c r="H6" s="93"/>
      <c r="I6" s="93"/>
      <c r="J6" s="67"/>
      <c r="K6" s="68"/>
      <c r="L6" s="68"/>
      <c r="M6" s="46"/>
      <c r="N6" s="46"/>
      <c r="O6" s="46"/>
      <c r="P6" s="46"/>
      <c r="Q6" s="46"/>
    </row>
    <row r="7" spans="2:32" s="13" customFormat="1" ht="15.75" customHeight="1">
      <c r="B7" s="88"/>
      <c r="C7" s="92"/>
      <c r="D7" s="90" t="s">
        <v>70</v>
      </c>
      <c r="E7" s="90"/>
      <c r="F7" s="88"/>
      <c r="G7" s="88"/>
      <c r="H7" s="91"/>
      <c r="I7" s="91"/>
      <c r="J7" s="67"/>
      <c r="K7" s="68"/>
      <c r="L7" s="68"/>
      <c r="M7" s="46"/>
      <c r="N7" s="46"/>
      <c r="O7" s="46"/>
      <c r="P7" s="46"/>
      <c r="Q7" s="46"/>
    </row>
    <row r="8" spans="2:32" s="13" customFormat="1" ht="14.25" customHeight="1">
      <c r="B8" s="88"/>
      <c r="C8" s="92"/>
      <c r="D8" s="90"/>
      <c r="E8" s="90"/>
      <c r="F8" s="88"/>
      <c r="G8" s="88"/>
      <c r="H8" s="93"/>
      <c r="I8" s="93"/>
      <c r="J8" s="67"/>
      <c r="K8" s="68"/>
      <c r="L8" s="68"/>
      <c r="M8" s="46"/>
      <c r="N8" s="46"/>
      <c r="O8" s="46"/>
      <c r="P8" s="46"/>
      <c r="Q8" s="46"/>
    </row>
    <row r="9" spans="2:32" s="13" customFormat="1" ht="15.75" customHeight="1">
      <c r="B9" s="88"/>
      <c r="C9" s="95" t="s">
        <v>72</v>
      </c>
      <c r="D9" s="90" t="s">
        <v>204</v>
      </c>
      <c r="E9" s="90"/>
      <c r="F9" s="88"/>
      <c r="G9" s="88"/>
      <c r="H9" s="91"/>
      <c r="I9" s="91"/>
      <c r="J9" s="67"/>
      <c r="K9" s="68"/>
      <c r="L9" s="68"/>
      <c r="M9" s="46"/>
      <c r="N9" s="46"/>
      <c r="O9" s="46"/>
      <c r="P9" s="46"/>
      <c r="Q9" s="46"/>
    </row>
    <row r="10" spans="2:32" s="13" customFormat="1">
      <c r="B10" s="46"/>
      <c r="C10" s="46"/>
      <c r="D10" s="79" t="s">
        <v>73</v>
      </c>
      <c r="E10" s="79"/>
      <c r="F10" s="46"/>
      <c r="G10" s="46"/>
      <c r="H10" s="46"/>
      <c r="I10" s="46"/>
      <c r="J10" s="67"/>
      <c r="K10" s="69"/>
      <c r="L10" s="68"/>
      <c r="M10" s="46"/>
      <c r="N10" s="46"/>
      <c r="O10" s="46"/>
      <c r="P10" s="46"/>
      <c r="Q10" s="46"/>
    </row>
    <row r="11" spans="2:32" s="13" customFormat="1">
      <c r="B11" s="46"/>
      <c r="C11" s="46"/>
      <c r="D11" s="79"/>
      <c r="E11" s="79"/>
      <c r="F11" s="46"/>
      <c r="G11" s="46"/>
      <c r="H11" s="46"/>
      <c r="I11" s="46"/>
      <c r="J11" s="67"/>
      <c r="K11" s="69"/>
      <c r="L11" s="68"/>
      <c r="M11" s="46"/>
      <c r="N11" s="46"/>
      <c r="O11" s="46"/>
      <c r="P11" s="46"/>
      <c r="Q11" s="46"/>
    </row>
    <row r="12" spans="2:32" s="13" customFormat="1" ht="30" customHeight="1" thickBot="1">
      <c r="B12" s="47" t="s">
        <v>64</v>
      </c>
      <c r="C12" s="18"/>
      <c r="D12" s="48"/>
      <c r="E12" s="61"/>
      <c r="F12" s="61"/>
      <c r="G12" s="61"/>
      <c r="H12" s="61"/>
      <c r="I12" s="61"/>
      <c r="J12" s="61"/>
      <c r="K12" s="61"/>
      <c r="L12" s="61"/>
      <c r="M12" s="61"/>
      <c r="N12" s="61"/>
      <c r="O12" s="61"/>
      <c r="P12" s="61"/>
      <c r="Q12" s="61"/>
    </row>
    <row r="13" spans="2:32" s="13" customFormat="1" ht="15.75" customHeight="1" thickTop="1">
      <c r="B13" s="46" t="s">
        <v>173</v>
      </c>
      <c r="C13" s="51"/>
      <c r="D13" s="50"/>
      <c r="E13" s="66"/>
      <c r="F13" s="66"/>
      <c r="G13" s="66"/>
      <c r="H13" s="46"/>
      <c r="I13" s="46"/>
      <c r="J13" s="67"/>
      <c r="K13" s="68"/>
      <c r="L13" s="68"/>
      <c r="M13" s="46"/>
      <c r="N13" s="46"/>
      <c r="O13" s="46"/>
      <c r="P13" s="46"/>
      <c r="Q13" s="46"/>
    </row>
    <row r="14" spans="2:32" s="13" customFormat="1" ht="15.75" customHeight="1">
      <c r="B14" s="46" t="s">
        <v>174</v>
      </c>
      <c r="C14" s="51"/>
      <c r="D14" s="50"/>
      <c r="E14" s="66"/>
      <c r="F14" s="66"/>
      <c r="G14" s="66"/>
      <c r="H14" s="46"/>
      <c r="I14" s="46"/>
      <c r="J14" s="67"/>
      <c r="K14" s="68"/>
      <c r="L14" s="68"/>
      <c r="M14" s="46"/>
      <c r="N14" s="46"/>
      <c r="O14" s="46"/>
      <c r="P14" s="46"/>
      <c r="Q14" s="46"/>
    </row>
    <row r="15" spans="2:32" s="13" customFormat="1" ht="15.75" customHeight="1">
      <c r="B15" s="46"/>
      <c r="C15" s="51"/>
      <c r="D15" s="50"/>
      <c r="E15" s="66"/>
      <c r="F15" s="66"/>
      <c r="G15" s="66"/>
      <c r="H15" s="46"/>
      <c r="I15" s="46"/>
      <c r="J15" s="67"/>
      <c r="K15" s="68"/>
      <c r="L15" s="68"/>
      <c r="M15" s="46"/>
      <c r="N15" s="46"/>
      <c r="O15" s="46"/>
      <c r="P15" s="46"/>
      <c r="Q15" s="46"/>
    </row>
    <row r="16" spans="2:32" s="13" customFormat="1" ht="14.25" customHeight="1">
      <c r="B16" s="56" t="s">
        <v>171</v>
      </c>
      <c r="C16" s="56"/>
      <c r="D16" s="56"/>
      <c r="E16" s="56"/>
      <c r="F16" s="56"/>
      <c r="G16" s="56"/>
      <c r="H16" s="56"/>
      <c r="I16" s="56"/>
      <c r="J16" s="56"/>
      <c r="K16" s="56"/>
      <c r="L16" s="56"/>
      <c r="M16" s="56"/>
      <c r="N16" s="56"/>
      <c r="O16" s="56"/>
      <c r="P16" s="56"/>
      <c r="Q16" s="56"/>
      <c r="Y16" s="14"/>
      <c r="Z16" s="14"/>
      <c r="AA16" s="15"/>
      <c r="AD16" s="16"/>
      <c r="AE16" s="14"/>
      <c r="AF16" s="14"/>
    </row>
    <row r="17" spans="2:32" s="13" customFormat="1" ht="16.5">
      <c r="B17" s="56"/>
      <c r="C17" s="81"/>
      <c r="D17" s="30" t="s">
        <v>65</v>
      </c>
      <c r="E17" s="81"/>
      <c r="F17" s="30" t="s">
        <v>66</v>
      </c>
      <c r="G17" s="81"/>
      <c r="H17" s="62" t="s">
        <v>67</v>
      </c>
      <c r="I17" s="56"/>
      <c r="J17" s="56"/>
      <c r="K17" s="56"/>
      <c r="L17" s="56"/>
      <c r="M17" s="56"/>
      <c r="N17" s="56"/>
      <c r="O17" s="62"/>
      <c r="P17" s="62"/>
      <c r="Q17" s="62"/>
      <c r="R17" s="19" t="s">
        <v>130</v>
      </c>
      <c r="S17" s="19"/>
      <c r="T17" s="19"/>
      <c r="U17" s="19"/>
      <c r="Y17" s="14"/>
      <c r="Z17" s="14"/>
      <c r="AA17" s="15"/>
      <c r="AD17" s="16"/>
      <c r="AE17" s="14"/>
      <c r="AF17" s="14"/>
    </row>
    <row r="18" spans="2:32" s="13" customFormat="1" ht="16.5">
      <c r="B18" s="56"/>
      <c r="C18" s="56"/>
      <c r="D18" s="58"/>
      <c r="E18" s="58"/>
      <c r="F18" s="58"/>
      <c r="G18" s="58"/>
      <c r="H18" s="58"/>
      <c r="I18" s="58"/>
      <c r="J18" s="58"/>
      <c r="K18" s="58"/>
      <c r="L18" s="58"/>
      <c r="M18" s="58"/>
      <c r="N18" s="62"/>
      <c r="O18" s="62"/>
      <c r="P18" s="62"/>
      <c r="Q18" s="62"/>
      <c r="R18" s="19"/>
      <c r="S18" s="19"/>
      <c r="T18" s="19"/>
      <c r="U18" s="19"/>
      <c r="Y18" s="14"/>
      <c r="Z18" s="14"/>
      <c r="AA18" s="15"/>
      <c r="AD18" s="16"/>
      <c r="AE18" s="14"/>
      <c r="AF18" s="14"/>
    </row>
    <row r="19" spans="2:32" ht="16.5">
      <c r="B19" s="57" t="s">
        <v>78</v>
      </c>
      <c r="C19" s="31"/>
      <c r="D19" s="31"/>
      <c r="E19" s="31"/>
      <c r="F19" s="31"/>
      <c r="G19" s="31"/>
      <c r="H19" s="57"/>
      <c r="I19" s="57"/>
      <c r="J19" s="57"/>
      <c r="K19" s="57"/>
      <c r="L19" s="57"/>
      <c r="M19" s="57"/>
      <c r="N19" s="57"/>
      <c r="O19" s="57"/>
      <c r="P19" s="57"/>
      <c r="Q19" s="57"/>
    </row>
    <row r="20" spans="2:32" s="97" customFormat="1" ht="21" customHeight="1">
      <c r="B20" s="58"/>
      <c r="C20" s="82" t="s">
        <v>74</v>
      </c>
      <c r="D20" s="83"/>
      <c r="E20" s="83"/>
      <c r="F20" s="83"/>
      <c r="G20" s="83"/>
      <c r="H20" s="83"/>
      <c r="I20" s="84"/>
      <c r="J20" s="216" t="s">
        <v>86</v>
      </c>
      <c r="K20" s="217"/>
      <c r="L20" s="217"/>
      <c r="M20" s="217"/>
      <c r="N20" s="217"/>
      <c r="O20" s="218"/>
      <c r="P20" s="58"/>
      <c r="Q20" s="58"/>
      <c r="R20" s="19" t="s">
        <v>130</v>
      </c>
    </row>
    <row r="21" spans="2:32" s="97" customFormat="1" ht="21" customHeight="1">
      <c r="B21" s="58"/>
      <c r="C21" s="82" t="s">
        <v>100</v>
      </c>
      <c r="D21" s="83"/>
      <c r="E21" s="83"/>
      <c r="F21" s="83"/>
      <c r="G21" s="83"/>
      <c r="H21" s="83"/>
      <c r="I21" s="84"/>
      <c r="J21" s="207" t="s">
        <v>121</v>
      </c>
      <c r="K21" s="207"/>
      <c r="L21" s="207"/>
      <c r="M21" s="207"/>
      <c r="N21" s="207"/>
      <c r="O21" s="207"/>
      <c r="P21" s="58"/>
      <c r="Q21" s="58"/>
      <c r="R21" s="19" t="s">
        <v>130</v>
      </c>
    </row>
    <row r="22" spans="2:32" s="97" customFormat="1" ht="21" customHeight="1">
      <c r="B22" s="58"/>
      <c r="C22" s="82" t="s">
        <v>75</v>
      </c>
      <c r="D22" s="83"/>
      <c r="E22" s="83"/>
      <c r="F22" s="83"/>
      <c r="G22" s="83"/>
      <c r="H22" s="83"/>
      <c r="I22" s="84"/>
      <c r="J22" s="207" t="s">
        <v>122</v>
      </c>
      <c r="K22" s="207"/>
      <c r="L22" s="207"/>
      <c r="M22" s="207"/>
      <c r="N22" s="207"/>
      <c r="O22" s="207"/>
      <c r="P22" s="58"/>
      <c r="Q22" s="58"/>
      <c r="R22" s="19" t="s">
        <v>130</v>
      </c>
    </row>
    <row r="23" spans="2:32" s="97" customFormat="1" ht="21" customHeight="1">
      <c r="B23" s="58"/>
      <c r="C23" s="82" t="s">
        <v>99</v>
      </c>
      <c r="D23" s="83"/>
      <c r="E23" s="83"/>
      <c r="F23" s="83"/>
      <c r="G23" s="83"/>
      <c r="H23" s="83"/>
      <c r="I23" s="84"/>
      <c r="J23" s="207" t="s">
        <v>123</v>
      </c>
      <c r="K23" s="207"/>
      <c r="L23" s="207"/>
      <c r="M23" s="207"/>
      <c r="N23" s="207"/>
      <c r="O23" s="207"/>
      <c r="P23" s="58"/>
      <c r="Q23" s="58"/>
      <c r="R23" s="19" t="s">
        <v>130</v>
      </c>
    </row>
    <row r="24" spans="2:32" s="97" customFormat="1" ht="21" customHeight="1">
      <c r="B24" s="58"/>
      <c r="C24" s="82" t="s">
        <v>76</v>
      </c>
      <c r="D24" s="83"/>
      <c r="E24" s="83"/>
      <c r="F24" s="83"/>
      <c r="G24" s="83"/>
      <c r="H24" s="83"/>
      <c r="I24" s="84"/>
      <c r="J24" s="207" t="s">
        <v>124</v>
      </c>
      <c r="K24" s="207"/>
      <c r="L24" s="207"/>
      <c r="M24" s="207"/>
      <c r="N24" s="207"/>
      <c r="O24" s="207"/>
      <c r="P24" s="58"/>
      <c r="Q24" s="58"/>
      <c r="R24" s="19" t="s">
        <v>130</v>
      </c>
    </row>
    <row r="25" spans="2:32" s="97" customFormat="1" ht="21" customHeight="1">
      <c r="B25" s="58"/>
      <c r="C25" s="82" t="s">
        <v>77</v>
      </c>
      <c r="D25" s="83"/>
      <c r="E25" s="83"/>
      <c r="F25" s="83"/>
      <c r="G25" s="83"/>
      <c r="H25" s="83"/>
      <c r="I25" s="84"/>
      <c r="J25" s="207" t="s">
        <v>125</v>
      </c>
      <c r="K25" s="207"/>
      <c r="L25" s="207"/>
      <c r="M25" s="207"/>
      <c r="N25" s="207"/>
      <c r="O25" s="207"/>
      <c r="P25" s="58"/>
      <c r="Q25" s="58"/>
      <c r="R25" s="19" t="s">
        <v>130</v>
      </c>
      <c r="S25" s="97">
        <f>LEN(J25)</f>
        <v>13</v>
      </c>
    </row>
    <row r="26" spans="2:32" s="97" customFormat="1" ht="21" customHeight="1">
      <c r="B26" s="58"/>
      <c r="C26" s="58"/>
      <c r="D26" s="58"/>
      <c r="E26" s="58"/>
      <c r="F26" s="58"/>
      <c r="G26" s="58"/>
      <c r="H26" s="58"/>
      <c r="I26" s="58"/>
      <c r="J26" s="58"/>
      <c r="K26" s="58"/>
      <c r="L26" s="58"/>
      <c r="M26" s="58"/>
      <c r="N26" s="58"/>
      <c r="O26" s="58"/>
      <c r="P26" s="58"/>
      <c r="Q26" s="58"/>
    </row>
    <row r="27" spans="2:32" s="97" customFormat="1" ht="21" customHeight="1">
      <c r="B27" s="57" t="s">
        <v>101</v>
      </c>
      <c r="C27" s="58"/>
      <c r="D27" s="58"/>
      <c r="E27" s="58"/>
      <c r="F27" s="58"/>
      <c r="G27" s="58"/>
      <c r="H27" s="58"/>
      <c r="I27" s="58"/>
      <c r="J27" s="58"/>
      <c r="K27" s="58"/>
      <c r="L27" s="58"/>
      <c r="M27" s="58"/>
      <c r="N27" s="58"/>
      <c r="O27" s="58"/>
      <c r="P27" s="58"/>
      <c r="Q27" s="58"/>
    </row>
    <row r="28" spans="2:32" s="97" customFormat="1" ht="21" customHeight="1">
      <c r="B28" s="57"/>
      <c r="C28" s="82" t="s">
        <v>102</v>
      </c>
      <c r="D28" s="83"/>
      <c r="E28" s="83"/>
      <c r="F28" s="83"/>
      <c r="G28" s="83"/>
      <c r="H28" s="83"/>
      <c r="I28" s="84"/>
      <c r="J28" s="207" t="s">
        <v>107</v>
      </c>
      <c r="K28" s="207"/>
      <c r="L28" s="207"/>
      <c r="M28" s="207"/>
      <c r="N28" s="207"/>
      <c r="O28" s="207"/>
      <c r="P28" s="58"/>
      <c r="Q28" s="58"/>
      <c r="R28" s="19" t="s">
        <v>130</v>
      </c>
    </row>
    <row r="29" spans="2:32" s="97" customFormat="1" ht="21" customHeight="1">
      <c r="B29" s="58"/>
      <c r="C29" s="82" t="s">
        <v>103</v>
      </c>
      <c r="D29" s="83"/>
      <c r="E29" s="83"/>
      <c r="F29" s="83"/>
      <c r="G29" s="83"/>
      <c r="H29" s="83"/>
      <c r="I29" s="84"/>
      <c r="J29" s="207" t="s">
        <v>106</v>
      </c>
      <c r="K29" s="207"/>
      <c r="L29" s="207"/>
      <c r="M29" s="207"/>
      <c r="N29" s="207"/>
      <c r="O29" s="207"/>
      <c r="P29" s="58"/>
      <c r="Q29" s="58"/>
      <c r="R29" s="19" t="s">
        <v>130</v>
      </c>
    </row>
    <row r="30" spans="2:32" s="97" customFormat="1" ht="21" customHeight="1">
      <c r="B30" s="58"/>
      <c r="C30" s="82" t="s">
        <v>104</v>
      </c>
      <c r="D30" s="83"/>
      <c r="E30" s="83"/>
      <c r="F30" s="83"/>
      <c r="G30" s="83"/>
      <c r="H30" s="83"/>
      <c r="I30" s="84"/>
      <c r="J30" s="207" t="s">
        <v>105</v>
      </c>
      <c r="K30" s="207"/>
      <c r="L30" s="207"/>
      <c r="M30" s="207"/>
      <c r="N30" s="207"/>
      <c r="O30" s="207"/>
      <c r="P30" s="58"/>
      <c r="Q30" s="58"/>
      <c r="R30" s="19" t="s">
        <v>130</v>
      </c>
    </row>
    <row r="31" spans="2:32" s="97" customFormat="1" ht="21" customHeight="1">
      <c r="B31" s="58"/>
      <c r="C31" s="58"/>
      <c r="D31" s="59"/>
      <c r="E31" s="58"/>
      <c r="F31" s="57"/>
      <c r="G31" s="57"/>
      <c r="H31" s="58"/>
      <c r="I31" s="58"/>
      <c r="J31" s="58"/>
      <c r="K31" s="58"/>
      <c r="L31" s="58"/>
      <c r="M31" s="58"/>
      <c r="N31" s="58"/>
      <c r="O31" s="58"/>
      <c r="P31" s="58"/>
      <c r="Q31" s="58"/>
    </row>
    <row r="32" spans="2:32" s="13" customFormat="1" ht="30" customHeight="1" thickBot="1">
      <c r="B32" s="47" t="s">
        <v>93</v>
      </c>
      <c r="C32" s="48"/>
      <c r="D32" s="48"/>
      <c r="E32" s="61"/>
      <c r="F32" s="61"/>
      <c r="G32" s="61"/>
      <c r="H32" s="61"/>
      <c r="I32" s="61"/>
      <c r="J32" s="61"/>
      <c r="K32" s="61"/>
      <c r="L32" s="61"/>
      <c r="M32" s="61"/>
      <c r="N32" s="61"/>
      <c r="O32" s="61"/>
      <c r="P32" s="61"/>
      <c r="Q32" s="61"/>
    </row>
    <row r="33" spans="2:17" s="13" customFormat="1" ht="15.75" customHeight="1" thickTop="1">
      <c r="B33" s="46" t="s">
        <v>175</v>
      </c>
      <c r="C33" s="51"/>
      <c r="D33" s="50"/>
      <c r="E33" s="66"/>
      <c r="F33" s="66"/>
      <c r="G33" s="66"/>
      <c r="H33" s="46"/>
      <c r="I33" s="46"/>
      <c r="J33" s="67"/>
      <c r="K33" s="68"/>
      <c r="L33" s="68"/>
      <c r="M33" s="46"/>
      <c r="N33" s="46"/>
      <c r="O33" s="46"/>
      <c r="P33" s="46"/>
      <c r="Q33" s="46"/>
    </row>
    <row r="34" spans="2:17" s="13" customFormat="1" ht="15.75" customHeight="1">
      <c r="B34" s="46"/>
      <c r="C34" s="51"/>
      <c r="D34" s="50"/>
      <c r="E34" s="66"/>
      <c r="F34" s="66"/>
      <c r="G34" s="66"/>
      <c r="H34" s="46"/>
      <c r="I34" s="46"/>
      <c r="J34" s="67"/>
      <c r="K34" s="68"/>
      <c r="L34" s="68"/>
      <c r="M34" s="46"/>
      <c r="N34" s="46"/>
      <c r="O34" s="46"/>
      <c r="P34" s="46"/>
      <c r="Q34" s="46"/>
    </row>
    <row r="35" spans="2:17" ht="16.5">
      <c r="B35" s="59" t="s">
        <v>126</v>
      </c>
      <c r="C35" s="57"/>
      <c r="D35" s="57"/>
      <c r="E35" s="57"/>
      <c r="F35" s="57"/>
      <c r="G35" s="57"/>
      <c r="H35" s="57"/>
      <c r="I35" s="57"/>
      <c r="J35" s="57"/>
      <c r="K35" s="57"/>
      <c r="L35" s="57"/>
      <c r="M35" s="57"/>
      <c r="N35" s="57"/>
      <c r="O35" s="57"/>
      <c r="P35" s="57"/>
      <c r="Q35" s="57"/>
    </row>
    <row r="36" spans="2:17" ht="16.5">
      <c r="B36" s="59" t="s">
        <v>240</v>
      </c>
      <c r="C36" s="57"/>
      <c r="D36" s="57"/>
      <c r="E36" s="57"/>
      <c r="F36" s="57"/>
      <c r="G36" s="57"/>
      <c r="H36" s="57"/>
      <c r="I36" s="57"/>
      <c r="J36" s="57"/>
      <c r="K36" s="57"/>
      <c r="L36" s="57"/>
      <c r="M36" s="57"/>
      <c r="N36" s="57"/>
      <c r="O36" s="57"/>
      <c r="P36" s="57"/>
      <c r="Q36" s="57"/>
    </row>
    <row r="37" spans="2:17" ht="16.5">
      <c r="B37" s="59" t="s">
        <v>241</v>
      </c>
      <c r="C37" s="57"/>
      <c r="D37" s="57"/>
      <c r="E37" s="57"/>
      <c r="F37" s="57"/>
      <c r="G37" s="57"/>
      <c r="H37" s="57"/>
      <c r="I37" s="57"/>
      <c r="J37" s="57"/>
      <c r="K37" s="57"/>
      <c r="L37" s="57"/>
      <c r="M37" s="57"/>
      <c r="N37" s="57"/>
      <c r="O37" s="57"/>
      <c r="P37" s="57"/>
      <c r="Q37" s="57"/>
    </row>
    <row r="38" spans="2:17" ht="27" customHeight="1">
      <c r="B38" s="57"/>
      <c r="C38" s="86" t="s">
        <v>22</v>
      </c>
      <c r="D38" s="219" t="s">
        <v>80</v>
      </c>
      <c r="E38" s="219"/>
      <c r="F38" s="219"/>
      <c r="G38" s="219"/>
      <c r="H38" s="219"/>
      <c r="I38" s="219"/>
      <c r="J38" s="219"/>
      <c r="K38" s="219"/>
      <c r="L38" s="209" t="s">
        <v>237</v>
      </c>
      <c r="M38" s="210"/>
      <c r="N38" s="209" t="s">
        <v>79</v>
      </c>
      <c r="O38" s="210"/>
      <c r="P38" s="63"/>
      <c r="Q38" s="57"/>
    </row>
    <row r="39" spans="2:17" ht="153" customHeight="1">
      <c r="B39" s="57"/>
      <c r="C39" s="32" t="s">
        <v>63</v>
      </c>
      <c r="D39" s="214"/>
      <c r="E39" s="214"/>
      <c r="F39" s="214"/>
      <c r="G39" s="214"/>
      <c r="H39" s="214"/>
      <c r="I39" s="214"/>
      <c r="J39" s="214"/>
      <c r="K39" s="214"/>
      <c r="L39" s="212" t="s">
        <v>20</v>
      </c>
      <c r="M39" s="212"/>
      <c r="N39" s="212" t="s">
        <v>21</v>
      </c>
      <c r="O39" s="212"/>
      <c r="P39" s="63"/>
      <c r="Q39" s="57"/>
    </row>
    <row r="40" spans="2:17" ht="60.75" customHeight="1">
      <c r="B40" s="57"/>
      <c r="C40" s="77" t="s">
        <v>81</v>
      </c>
      <c r="D40" s="203"/>
      <c r="E40" s="203"/>
      <c r="F40" s="203"/>
      <c r="G40" s="203"/>
      <c r="H40" s="203"/>
      <c r="I40" s="203"/>
      <c r="J40" s="203"/>
      <c r="K40" s="203"/>
      <c r="L40" s="203" t="s">
        <v>205</v>
      </c>
      <c r="M40" s="203"/>
      <c r="N40" s="203" t="s">
        <v>242</v>
      </c>
      <c r="O40" s="203"/>
      <c r="P40" s="63"/>
      <c r="Q40" s="57"/>
    </row>
    <row r="41" spans="2:17" ht="60.75" customHeight="1">
      <c r="B41" s="57"/>
      <c r="C41" s="77" t="s">
        <v>82</v>
      </c>
      <c r="D41" s="213"/>
      <c r="E41" s="213"/>
      <c r="F41" s="213"/>
      <c r="G41" s="213"/>
      <c r="H41" s="213"/>
      <c r="I41" s="213"/>
      <c r="J41" s="213"/>
      <c r="K41" s="213"/>
      <c r="L41" s="213"/>
      <c r="M41" s="213"/>
      <c r="N41" s="213"/>
      <c r="O41" s="213"/>
      <c r="P41" s="63"/>
      <c r="Q41" s="57"/>
    </row>
    <row r="42" spans="2:17" ht="60.75" customHeight="1">
      <c r="B42" s="57"/>
      <c r="C42" s="33" t="s">
        <v>83</v>
      </c>
      <c r="D42" s="213"/>
      <c r="E42" s="213"/>
      <c r="F42" s="213"/>
      <c r="G42" s="213"/>
      <c r="H42" s="213"/>
      <c r="I42" s="213"/>
      <c r="J42" s="213"/>
      <c r="K42" s="213"/>
      <c r="L42" s="213"/>
      <c r="M42" s="213"/>
      <c r="N42" s="213"/>
      <c r="O42" s="213"/>
      <c r="P42" s="63"/>
      <c r="Q42" s="57"/>
    </row>
    <row r="43" spans="2:17" ht="16.5">
      <c r="B43" s="57"/>
      <c r="C43" s="57"/>
      <c r="D43" s="57"/>
      <c r="E43" s="57"/>
      <c r="F43" s="57"/>
      <c r="G43" s="57"/>
      <c r="H43" s="57"/>
      <c r="I43" s="57"/>
      <c r="J43" s="57"/>
      <c r="K43" s="57"/>
      <c r="L43" s="57"/>
      <c r="M43" s="57"/>
      <c r="N43" s="57"/>
      <c r="O43" s="57"/>
      <c r="P43" s="57"/>
      <c r="Q43" s="57"/>
    </row>
    <row r="44" spans="2:17" ht="16.5">
      <c r="B44" s="59" t="s">
        <v>141</v>
      </c>
      <c r="C44" s="57"/>
      <c r="D44" s="57"/>
      <c r="E44" s="57"/>
      <c r="F44" s="57"/>
      <c r="G44" s="57"/>
      <c r="H44" s="57"/>
      <c r="I44" s="57"/>
      <c r="J44" s="57"/>
      <c r="K44" s="57"/>
      <c r="L44" s="57"/>
      <c r="M44" s="57"/>
      <c r="N44" s="57"/>
      <c r="O44" s="57"/>
      <c r="P44" s="57"/>
      <c r="Q44" s="57"/>
    </row>
    <row r="45" spans="2:17" s="98" customFormat="1" ht="33" customHeight="1">
      <c r="B45" s="60"/>
      <c r="C45" s="85" t="s">
        <v>23</v>
      </c>
      <c r="D45" s="211" t="s">
        <v>24</v>
      </c>
      <c r="E45" s="211"/>
      <c r="F45" s="211"/>
      <c r="G45" s="211" t="s">
        <v>85</v>
      </c>
      <c r="H45" s="211"/>
      <c r="I45" s="211"/>
      <c r="J45" s="211" t="s">
        <v>84</v>
      </c>
      <c r="K45" s="211"/>
      <c r="L45" s="211"/>
      <c r="M45" s="211"/>
      <c r="N45" s="211"/>
      <c r="O45" s="211"/>
      <c r="P45" s="64"/>
      <c r="Q45" s="60"/>
    </row>
    <row r="46" spans="2:17" s="98" customFormat="1" ht="69" customHeight="1">
      <c r="B46" s="60"/>
      <c r="C46" s="34" t="s">
        <v>37</v>
      </c>
      <c r="D46" s="212" t="s">
        <v>81</v>
      </c>
      <c r="E46" s="212"/>
      <c r="F46" s="212"/>
      <c r="G46" s="212" t="s">
        <v>0</v>
      </c>
      <c r="H46" s="212"/>
      <c r="I46" s="212"/>
      <c r="J46" s="208" t="s">
        <v>176</v>
      </c>
      <c r="K46" s="208"/>
      <c r="L46" s="208"/>
      <c r="M46" s="208"/>
      <c r="N46" s="208"/>
      <c r="O46" s="208"/>
      <c r="P46" s="65"/>
      <c r="Q46" s="60"/>
    </row>
    <row r="47" spans="2:17" s="98" customFormat="1" ht="42" customHeight="1">
      <c r="B47" s="60"/>
      <c r="C47" s="35">
        <v>1</v>
      </c>
      <c r="D47" s="203"/>
      <c r="E47" s="203"/>
      <c r="F47" s="203"/>
      <c r="G47" s="204"/>
      <c r="H47" s="204"/>
      <c r="I47" s="204"/>
      <c r="J47" s="205"/>
      <c r="K47" s="205"/>
      <c r="L47" s="205"/>
      <c r="M47" s="205"/>
      <c r="N47" s="205"/>
      <c r="O47" s="205"/>
      <c r="P47" s="65"/>
      <c r="Q47" s="60"/>
    </row>
    <row r="48" spans="2:17" s="98" customFormat="1" ht="42" customHeight="1">
      <c r="B48" s="60"/>
      <c r="C48" s="35">
        <v>2</v>
      </c>
      <c r="D48" s="203"/>
      <c r="E48" s="203"/>
      <c r="F48" s="203"/>
      <c r="G48" s="204"/>
      <c r="H48" s="204"/>
      <c r="I48" s="204"/>
      <c r="J48" s="205"/>
      <c r="K48" s="205"/>
      <c r="L48" s="205"/>
      <c r="M48" s="205"/>
      <c r="N48" s="205"/>
      <c r="O48" s="205"/>
      <c r="P48" s="65"/>
      <c r="Q48" s="60"/>
    </row>
    <row r="49" spans="2:17" s="98" customFormat="1" ht="42" customHeight="1">
      <c r="B49" s="60"/>
      <c r="C49" s="35">
        <v>3</v>
      </c>
      <c r="D49" s="203"/>
      <c r="E49" s="203"/>
      <c r="F49" s="203"/>
      <c r="G49" s="204"/>
      <c r="H49" s="204"/>
      <c r="I49" s="204"/>
      <c r="J49" s="205"/>
      <c r="K49" s="205"/>
      <c r="L49" s="205"/>
      <c r="M49" s="205"/>
      <c r="N49" s="205"/>
      <c r="O49" s="205"/>
      <c r="P49" s="65"/>
      <c r="Q49" s="60"/>
    </row>
    <row r="50" spans="2:17" s="98" customFormat="1" ht="42" customHeight="1">
      <c r="B50" s="60"/>
      <c r="C50" s="35">
        <v>4</v>
      </c>
      <c r="D50" s="203"/>
      <c r="E50" s="203"/>
      <c r="F50" s="203"/>
      <c r="G50" s="204"/>
      <c r="H50" s="204"/>
      <c r="I50" s="204"/>
      <c r="J50" s="205"/>
      <c r="K50" s="205"/>
      <c r="L50" s="205"/>
      <c r="M50" s="205"/>
      <c r="N50" s="205"/>
      <c r="O50" s="205"/>
      <c r="P50" s="65"/>
      <c r="Q50" s="60"/>
    </row>
    <row r="51" spans="2:17" s="98" customFormat="1" ht="42" customHeight="1">
      <c r="B51" s="60"/>
      <c r="C51" s="35">
        <v>5</v>
      </c>
      <c r="D51" s="203"/>
      <c r="E51" s="203"/>
      <c r="F51" s="203"/>
      <c r="G51" s="204"/>
      <c r="H51" s="204"/>
      <c r="I51" s="204"/>
      <c r="J51" s="205"/>
      <c r="K51" s="205"/>
      <c r="L51" s="205"/>
      <c r="M51" s="205"/>
      <c r="N51" s="205"/>
      <c r="O51" s="205"/>
      <c r="P51" s="65"/>
      <c r="Q51" s="60"/>
    </row>
    <row r="52" spans="2:17">
      <c r="B52" s="99"/>
      <c r="C52" s="99"/>
      <c r="D52" s="99"/>
      <c r="E52" s="99"/>
      <c r="F52" s="99"/>
      <c r="G52" s="99"/>
      <c r="H52" s="99"/>
      <c r="I52" s="99"/>
      <c r="J52" s="99"/>
      <c r="K52" s="99"/>
      <c r="L52" s="99"/>
      <c r="M52" s="99"/>
      <c r="N52" s="99"/>
      <c r="O52" s="99"/>
      <c r="P52" s="99"/>
      <c r="Q52" s="99"/>
    </row>
    <row r="53" spans="2:17">
      <c r="B53" s="99"/>
      <c r="C53" s="99"/>
      <c r="D53" s="99"/>
      <c r="E53" s="99"/>
      <c r="F53" s="99"/>
      <c r="G53" s="99"/>
      <c r="H53" s="99"/>
      <c r="I53" s="99"/>
      <c r="J53" s="99"/>
      <c r="K53" s="99"/>
      <c r="L53" s="99"/>
      <c r="M53" s="99"/>
      <c r="N53" s="99"/>
      <c r="O53" s="99"/>
      <c r="P53" s="99"/>
      <c r="Q53" s="99"/>
    </row>
    <row r="54" spans="2:17" ht="21">
      <c r="B54" s="99"/>
      <c r="C54" s="41" t="s">
        <v>96</v>
      </c>
      <c r="D54" s="100"/>
      <c r="E54" s="99"/>
      <c r="F54" s="99"/>
      <c r="G54" s="99"/>
      <c r="H54" s="99"/>
      <c r="I54" s="99"/>
      <c r="J54" s="99"/>
      <c r="K54" s="99"/>
      <c r="L54" s="99"/>
      <c r="M54" s="99"/>
      <c r="N54" s="99"/>
      <c r="O54" s="99"/>
      <c r="P54" s="99"/>
      <c r="Q54" s="99"/>
    </row>
    <row r="55" spans="2:17" ht="21">
      <c r="B55" s="99"/>
      <c r="C55" s="43"/>
      <c r="D55" s="215" t="s">
        <v>131</v>
      </c>
      <c r="E55" s="215"/>
      <c r="F55" s="215"/>
      <c r="G55" s="215"/>
      <c r="H55" s="215"/>
      <c r="I55" s="215"/>
      <c r="J55" s="215"/>
      <c r="K55" s="215"/>
      <c r="L55" s="215"/>
      <c r="M55" s="215"/>
      <c r="N55" s="215"/>
      <c r="O55" s="215"/>
      <c r="P55" s="215"/>
      <c r="Q55" s="99"/>
    </row>
    <row r="56" spans="2:17" ht="21">
      <c r="B56" s="99"/>
      <c r="C56" s="43"/>
      <c r="D56" s="215"/>
      <c r="E56" s="215"/>
      <c r="F56" s="215"/>
      <c r="G56" s="215"/>
      <c r="H56" s="215"/>
      <c r="I56" s="215"/>
      <c r="J56" s="215"/>
      <c r="K56" s="215"/>
      <c r="L56" s="215"/>
      <c r="M56" s="215"/>
      <c r="N56" s="215"/>
      <c r="O56" s="215"/>
      <c r="P56" s="215"/>
      <c r="Q56" s="99"/>
    </row>
    <row r="57" spans="2:17" ht="21">
      <c r="B57" s="99"/>
      <c r="C57" s="43"/>
      <c r="D57" s="215" t="s">
        <v>132</v>
      </c>
      <c r="E57" s="215"/>
      <c r="F57" s="215"/>
      <c r="G57" s="215"/>
      <c r="H57" s="215"/>
      <c r="I57" s="215"/>
      <c r="J57" s="215"/>
      <c r="K57" s="215"/>
      <c r="L57" s="215"/>
      <c r="M57" s="215"/>
      <c r="N57" s="215"/>
      <c r="O57" s="215"/>
      <c r="P57" s="215"/>
      <c r="Q57" s="99"/>
    </row>
    <row r="58" spans="2:17" ht="21">
      <c r="B58" s="99"/>
      <c r="C58" s="43"/>
      <c r="D58" s="215"/>
      <c r="E58" s="215"/>
      <c r="F58" s="215"/>
      <c r="G58" s="215"/>
      <c r="H58" s="215"/>
      <c r="I58" s="215"/>
      <c r="J58" s="215"/>
      <c r="K58" s="215"/>
      <c r="L58" s="215"/>
      <c r="M58" s="215"/>
      <c r="N58" s="215"/>
      <c r="O58" s="215"/>
      <c r="P58" s="215"/>
      <c r="Q58" s="99"/>
    </row>
  </sheetData>
  <sheetProtection algorithmName="SHA-512" hashValue="WfD5BKcXHasn7ngV851JGZq7/XyU710rOi2Vkww/jUQ8sX3DXX72Vi6VfGHXyCOemoNRKNJveq30OmAsg7W9OA==" saltValue="3chxr83VQe3279zsCsjicw==" spinCount="100000" sheet="1" objects="1" scenarios="1"/>
  <mergeCells count="48">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 ref="G46:I46"/>
    <mergeCell ref="G47:I47"/>
    <mergeCell ref="G48:I48"/>
    <mergeCell ref="N41:O41"/>
    <mergeCell ref="D39:K39"/>
    <mergeCell ref="D40:K40"/>
    <mergeCell ref="D41:K41"/>
    <mergeCell ref="D42:K42"/>
    <mergeCell ref="N42:O42"/>
    <mergeCell ref="L42:M42"/>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D50:F50"/>
    <mergeCell ref="G50:I50"/>
    <mergeCell ref="J50:O50"/>
    <mergeCell ref="D51:F51"/>
    <mergeCell ref="G51:I51"/>
    <mergeCell ref="J51:O51"/>
  </mergeCells>
  <phoneticPr fontId="1"/>
  <dataValidations count="3">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s>
  <pageMargins left="0.51181102362204722" right="0.51181102362204722" top="0.74803149606299213" bottom="0.7480314960629921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O42"/>
  <sheetViews>
    <sheetView view="pageBreakPreview" topLeftCell="A19" zoomScale="81" zoomScaleNormal="70" zoomScaleSheetLayoutView="55" workbookViewId="0">
      <selection activeCell="D28" sqref="D28"/>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0.2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6"/>
      <c r="C1" s="52"/>
      <c r="D1" s="36"/>
      <c r="E1" s="36"/>
      <c r="F1" s="36"/>
      <c r="G1" s="36"/>
      <c r="H1" s="36"/>
      <c r="I1" s="36"/>
      <c r="J1" s="36"/>
      <c r="K1" s="36"/>
      <c r="L1" s="36"/>
      <c r="M1" s="37"/>
      <c r="N1" s="36"/>
      <c r="O1" s="36"/>
      <c r="P1" s="36"/>
      <c r="Q1" s="36"/>
      <c r="R1" s="37"/>
      <c r="S1" s="36"/>
      <c r="T1" s="36"/>
      <c r="U1" s="36"/>
      <c r="V1" s="36"/>
      <c r="W1" s="36"/>
      <c r="X1" s="36"/>
      <c r="Y1" s="36"/>
      <c r="Z1" s="36"/>
      <c r="AA1" s="36"/>
      <c r="AB1" s="36"/>
      <c r="AC1" s="36"/>
      <c r="AD1" s="36"/>
      <c r="AE1" s="36"/>
      <c r="AF1" s="36"/>
      <c r="AG1" s="37"/>
      <c r="AH1" s="37"/>
      <c r="AI1" s="37"/>
      <c r="AJ1" s="37"/>
      <c r="AK1" s="37"/>
      <c r="AL1" s="37"/>
      <c r="AM1" s="37"/>
      <c r="AN1" s="37"/>
    </row>
    <row r="2" spans="2:40" ht="21">
      <c r="B2" s="206" t="s">
        <v>181</v>
      </c>
      <c r="C2" s="206"/>
      <c r="D2" s="206"/>
      <c r="E2" s="206"/>
      <c r="F2" s="206"/>
      <c r="G2" s="206"/>
      <c r="H2" s="206"/>
      <c r="I2" s="206"/>
      <c r="J2" s="206"/>
      <c r="K2" s="206"/>
      <c r="L2" s="206"/>
      <c r="M2" s="206"/>
      <c r="N2" s="36"/>
      <c r="O2" s="36"/>
      <c r="P2" s="36"/>
      <c r="Q2" s="36"/>
      <c r="R2" s="37"/>
      <c r="S2" s="36"/>
      <c r="T2" s="36"/>
      <c r="U2" s="55"/>
      <c r="V2" s="36"/>
      <c r="W2" s="36"/>
      <c r="X2" s="36"/>
      <c r="Y2" s="36"/>
      <c r="Z2" s="36"/>
      <c r="AA2" s="36"/>
      <c r="AB2" s="36"/>
      <c r="AC2" s="36"/>
      <c r="AD2" s="36"/>
      <c r="AE2" s="36"/>
      <c r="AF2" s="36"/>
      <c r="AG2" s="37"/>
      <c r="AH2" s="37"/>
      <c r="AI2" s="37"/>
      <c r="AJ2" s="37"/>
      <c r="AK2" s="37"/>
      <c r="AL2" s="37"/>
      <c r="AM2" s="37"/>
      <c r="AN2" s="37"/>
    </row>
    <row r="3" spans="2:40">
      <c r="B3" s="36"/>
      <c r="C3" s="52"/>
      <c r="D3" s="36"/>
      <c r="E3" s="36"/>
      <c r="F3" s="36"/>
      <c r="G3" s="36"/>
      <c r="H3" s="36"/>
      <c r="I3" s="36"/>
      <c r="J3" s="36"/>
      <c r="K3" s="36"/>
      <c r="L3" s="36"/>
      <c r="M3" s="37"/>
      <c r="N3" s="36"/>
      <c r="O3" s="36"/>
      <c r="P3" s="36"/>
      <c r="Q3" s="36"/>
      <c r="R3" s="37"/>
      <c r="S3" s="36"/>
      <c r="T3" s="36"/>
      <c r="U3" s="36"/>
      <c r="V3" s="36"/>
      <c r="W3" s="36"/>
      <c r="X3" s="36"/>
      <c r="Y3" s="36"/>
      <c r="Z3" s="36"/>
      <c r="AA3" s="36"/>
      <c r="AB3" s="36"/>
      <c r="AC3" s="36"/>
      <c r="AD3" s="36"/>
      <c r="AE3" s="36"/>
      <c r="AF3" s="36"/>
      <c r="AG3" s="37"/>
      <c r="AH3" s="37"/>
      <c r="AI3" s="37"/>
      <c r="AJ3" s="37"/>
      <c r="AK3" s="37"/>
      <c r="AL3" s="37"/>
      <c r="AM3" s="37"/>
      <c r="AN3" s="37"/>
    </row>
    <row r="4" spans="2:40">
      <c r="B4" s="36"/>
      <c r="C4" s="36"/>
      <c r="D4" s="36"/>
      <c r="E4" s="36"/>
      <c r="F4" s="36"/>
      <c r="G4" s="36"/>
      <c r="H4" s="36"/>
      <c r="I4" s="36"/>
      <c r="J4" s="36"/>
      <c r="K4" s="36"/>
      <c r="L4" s="36"/>
      <c r="M4" s="37"/>
      <c r="N4" s="36"/>
      <c r="O4" s="36"/>
      <c r="P4" s="36"/>
      <c r="Q4" s="36"/>
      <c r="R4" s="37"/>
      <c r="S4" s="36"/>
      <c r="T4" s="36"/>
      <c r="U4" s="36"/>
      <c r="V4" s="36"/>
      <c r="W4" s="36"/>
      <c r="X4" s="36"/>
      <c r="Y4" s="36"/>
      <c r="Z4" s="36"/>
      <c r="AA4" s="36"/>
      <c r="AB4" s="36"/>
      <c r="AC4" s="36"/>
      <c r="AD4" s="36"/>
      <c r="AE4" s="36"/>
      <c r="AF4" s="36"/>
      <c r="AG4" s="37"/>
      <c r="AH4" s="37"/>
      <c r="AI4" s="37"/>
      <c r="AJ4" s="37"/>
      <c r="AK4" s="37"/>
      <c r="AL4" s="37"/>
      <c r="AM4" s="37"/>
      <c r="AN4" s="37"/>
    </row>
    <row r="5" spans="2:40" s="10" customFormat="1">
      <c r="B5" s="36"/>
      <c r="C5" s="20" t="s">
        <v>97</v>
      </c>
      <c r="D5" s="70" t="s">
        <v>68</v>
      </c>
      <c r="E5" s="54"/>
      <c r="F5" s="36"/>
      <c r="G5" s="36"/>
      <c r="H5" s="36"/>
      <c r="I5" s="36"/>
      <c r="J5" s="36"/>
      <c r="K5" s="36"/>
      <c r="L5" s="36"/>
      <c r="M5" s="37"/>
      <c r="N5" s="36"/>
      <c r="O5" s="36"/>
      <c r="P5" s="36"/>
      <c r="Q5" s="36"/>
      <c r="R5" s="37"/>
      <c r="S5" s="36"/>
      <c r="T5" s="36"/>
      <c r="U5" s="36"/>
      <c r="V5" s="36"/>
      <c r="W5" s="36"/>
      <c r="X5" s="36"/>
      <c r="Y5" s="36"/>
      <c r="Z5" s="36"/>
      <c r="AA5" s="36"/>
      <c r="AB5" s="36"/>
      <c r="AC5" s="36"/>
      <c r="AD5" s="36"/>
      <c r="AE5" s="36"/>
      <c r="AF5" s="36"/>
      <c r="AG5" s="37"/>
      <c r="AH5" s="37"/>
      <c r="AI5" s="37"/>
      <c r="AJ5" s="37"/>
      <c r="AK5" s="37"/>
      <c r="AL5" s="37"/>
      <c r="AM5" s="37"/>
      <c r="AN5" s="37"/>
    </row>
    <row r="6" spans="2:40" s="10" customFormat="1">
      <c r="B6" s="36"/>
      <c r="C6" s="53"/>
      <c r="D6" s="70"/>
      <c r="E6" s="54"/>
      <c r="F6" s="36"/>
      <c r="G6" s="36"/>
      <c r="H6" s="36"/>
      <c r="I6" s="36"/>
      <c r="J6" s="36"/>
      <c r="K6" s="36"/>
      <c r="L6" s="36"/>
      <c r="M6" s="37"/>
      <c r="N6" s="36"/>
      <c r="O6" s="36"/>
      <c r="P6" s="36"/>
      <c r="Q6" s="36"/>
      <c r="R6" s="37"/>
      <c r="S6" s="36"/>
      <c r="T6" s="36"/>
      <c r="U6" s="36"/>
      <c r="V6" s="36"/>
      <c r="W6" s="36"/>
      <c r="X6" s="36"/>
      <c r="Y6" s="36"/>
      <c r="Z6" s="36"/>
      <c r="AA6" s="36"/>
      <c r="AB6" s="36"/>
      <c r="AC6" s="36"/>
      <c r="AD6" s="36"/>
      <c r="AE6" s="36"/>
      <c r="AF6" s="36"/>
      <c r="AG6" s="37"/>
      <c r="AH6" s="37"/>
      <c r="AI6" s="37"/>
      <c r="AJ6" s="37"/>
      <c r="AK6" s="37"/>
      <c r="AL6" s="37"/>
      <c r="AM6" s="37"/>
      <c r="AN6" s="37"/>
    </row>
    <row r="7" spans="2:40" s="10" customFormat="1">
      <c r="B7" s="36"/>
      <c r="C7" s="22" t="s">
        <v>71</v>
      </c>
      <c r="D7" s="70" t="s">
        <v>69</v>
      </c>
      <c r="E7" s="54"/>
      <c r="F7" s="36"/>
      <c r="G7" s="36"/>
      <c r="H7" s="36"/>
      <c r="I7" s="36"/>
      <c r="J7" s="36"/>
      <c r="K7" s="36"/>
      <c r="L7" s="36"/>
      <c r="M7" s="37"/>
      <c r="N7" s="36"/>
      <c r="O7" s="36"/>
      <c r="P7" s="36"/>
      <c r="Q7" s="36"/>
      <c r="R7" s="37"/>
      <c r="S7" s="36"/>
      <c r="T7" s="36"/>
      <c r="U7" s="36"/>
      <c r="V7" s="36"/>
      <c r="W7" s="36"/>
      <c r="X7" s="36"/>
      <c r="Y7" s="36"/>
      <c r="Z7" s="36"/>
      <c r="AA7" s="36"/>
      <c r="AB7" s="36"/>
      <c r="AC7" s="36"/>
      <c r="AD7" s="36"/>
      <c r="AE7" s="36"/>
      <c r="AF7" s="36"/>
      <c r="AG7" s="37"/>
      <c r="AH7" s="37"/>
      <c r="AI7" s="37"/>
      <c r="AJ7" s="37"/>
      <c r="AK7" s="37"/>
      <c r="AL7" s="37"/>
      <c r="AM7" s="37"/>
      <c r="AN7" s="37"/>
    </row>
    <row r="8" spans="2:40" s="10" customFormat="1">
      <c r="B8" s="36"/>
      <c r="C8" s="53"/>
      <c r="D8" s="70" t="s">
        <v>70</v>
      </c>
      <c r="E8" s="54"/>
      <c r="F8" s="36"/>
      <c r="G8" s="36"/>
      <c r="H8" s="36"/>
      <c r="I8" s="36"/>
      <c r="J8" s="36"/>
      <c r="K8" s="36"/>
      <c r="L8" s="36"/>
      <c r="M8" s="37"/>
      <c r="N8" s="36"/>
      <c r="O8" s="36"/>
      <c r="P8" s="36"/>
      <c r="Q8" s="36"/>
      <c r="R8" s="37"/>
      <c r="S8" s="36"/>
      <c r="T8" s="36"/>
      <c r="U8" s="36"/>
      <c r="V8" s="36"/>
      <c r="W8" s="36"/>
      <c r="X8" s="36"/>
      <c r="Y8" s="36"/>
      <c r="Z8" s="36"/>
      <c r="AA8" s="36"/>
      <c r="AB8" s="36"/>
      <c r="AC8" s="36"/>
      <c r="AD8" s="36"/>
      <c r="AE8" s="36"/>
      <c r="AF8" s="36"/>
      <c r="AG8" s="37"/>
      <c r="AH8" s="37"/>
      <c r="AI8" s="37"/>
      <c r="AJ8" s="37"/>
      <c r="AK8" s="37"/>
      <c r="AL8" s="37"/>
      <c r="AM8" s="37"/>
      <c r="AN8" s="37"/>
    </row>
    <row r="9" spans="2:40" s="10" customFormat="1">
      <c r="B9" s="45"/>
      <c r="C9" s="53"/>
      <c r="D9" s="70"/>
      <c r="E9" s="54"/>
      <c r="F9" s="36"/>
      <c r="G9" s="36"/>
      <c r="H9" s="36"/>
      <c r="I9" s="36"/>
      <c r="J9" s="36"/>
      <c r="K9" s="36"/>
      <c r="L9" s="36"/>
      <c r="M9" s="37"/>
      <c r="N9" s="36"/>
      <c r="O9" s="36"/>
      <c r="P9" s="36"/>
      <c r="Q9" s="36"/>
      <c r="R9" s="37"/>
      <c r="S9" s="36"/>
      <c r="T9" s="36"/>
      <c r="U9" s="36"/>
      <c r="V9" s="36"/>
      <c r="W9" s="36"/>
      <c r="X9" s="36"/>
      <c r="Y9" s="36"/>
      <c r="Z9" s="36"/>
      <c r="AA9" s="36"/>
      <c r="AB9" s="36"/>
      <c r="AC9" s="36"/>
      <c r="AD9" s="36"/>
      <c r="AE9" s="36"/>
      <c r="AF9" s="36"/>
      <c r="AG9" s="37"/>
      <c r="AH9" s="37"/>
      <c r="AI9" s="37"/>
      <c r="AJ9" s="37"/>
      <c r="AK9" s="37"/>
      <c r="AL9" s="37"/>
      <c r="AM9" s="37"/>
      <c r="AN9" s="37"/>
    </row>
    <row r="10" spans="2:40" s="10" customFormat="1">
      <c r="B10" s="45"/>
      <c r="C10" s="21" t="s">
        <v>72</v>
      </c>
      <c r="D10" s="70" t="s">
        <v>168</v>
      </c>
      <c r="E10" s="54"/>
      <c r="F10" s="36"/>
      <c r="G10" s="36"/>
      <c r="H10" s="36"/>
      <c r="I10" s="36"/>
      <c r="J10" s="36"/>
      <c r="K10" s="36"/>
      <c r="L10" s="36"/>
      <c r="M10" s="37"/>
      <c r="N10" s="36"/>
      <c r="O10" s="36"/>
      <c r="P10" s="36"/>
      <c r="Q10" s="36"/>
      <c r="R10" s="37"/>
      <c r="S10" s="36"/>
      <c r="T10" s="36"/>
      <c r="U10" s="36"/>
      <c r="V10" s="36"/>
      <c r="W10" s="36"/>
      <c r="X10" s="36"/>
      <c r="Y10" s="36"/>
      <c r="Z10" s="36"/>
      <c r="AA10" s="36"/>
      <c r="AB10" s="36"/>
      <c r="AC10" s="36"/>
      <c r="AD10" s="36"/>
      <c r="AE10" s="36"/>
      <c r="AF10" s="36"/>
      <c r="AG10" s="37"/>
      <c r="AH10" s="37"/>
      <c r="AI10" s="37"/>
      <c r="AJ10" s="37"/>
      <c r="AK10" s="37"/>
      <c r="AL10" s="37"/>
      <c r="AM10" s="37"/>
      <c r="AN10" s="37"/>
    </row>
    <row r="11" spans="2:40" s="10" customFormat="1" ht="15.75">
      <c r="B11" s="45"/>
      <c r="C11" s="46"/>
      <c r="D11" s="70" t="s">
        <v>73</v>
      </c>
      <c r="E11" s="46"/>
      <c r="F11" s="36"/>
      <c r="G11" s="36"/>
      <c r="H11" s="36"/>
      <c r="I11" s="36"/>
      <c r="J11" s="36"/>
      <c r="K11" s="36"/>
      <c r="L11" s="36"/>
      <c r="M11" s="37"/>
      <c r="N11" s="36"/>
      <c r="O11" s="36"/>
      <c r="P11" s="36"/>
      <c r="Q11" s="36"/>
      <c r="R11" s="37"/>
      <c r="S11" s="36"/>
      <c r="T11" s="36"/>
      <c r="U11" s="36"/>
      <c r="V11" s="36"/>
      <c r="W11" s="36"/>
      <c r="X11" s="36"/>
      <c r="Y11" s="36"/>
      <c r="Z11" s="36"/>
      <c r="AA11" s="36"/>
      <c r="AB11" s="36"/>
      <c r="AC11" s="36"/>
      <c r="AD11" s="36"/>
      <c r="AE11" s="36"/>
      <c r="AF11" s="36"/>
      <c r="AG11" s="37"/>
      <c r="AH11" s="37"/>
      <c r="AI11" s="37"/>
      <c r="AJ11" s="37"/>
      <c r="AK11" s="37"/>
      <c r="AL11" s="37"/>
      <c r="AM11" s="37"/>
      <c r="AN11" s="37"/>
    </row>
    <row r="12" spans="2:40" s="10" customFormat="1" ht="15.75">
      <c r="B12" s="45"/>
      <c r="C12" s="46"/>
      <c r="D12" s="46"/>
      <c r="E12" s="46"/>
      <c r="F12" s="36"/>
      <c r="G12" s="36"/>
      <c r="H12" s="36"/>
      <c r="I12" s="36"/>
      <c r="J12" s="36"/>
      <c r="K12" s="36"/>
      <c r="L12" s="36"/>
      <c r="M12" s="37"/>
      <c r="N12" s="36"/>
      <c r="O12" s="36"/>
      <c r="P12" s="36"/>
      <c r="Q12" s="36"/>
      <c r="R12" s="37"/>
      <c r="S12" s="36"/>
      <c r="T12" s="36"/>
      <c r="U12" s="36"/>
      <c r="V12" s="36"/>
      <c r="W12" s="36"/>
      <c r="X12" s="36"/>
      <c r="Y12" s="36"/>
      <c r="Z12" s="36"/>
      <c r="AA12" s="36"/>
      <c r="AB12" s="36"/>
      <c r="AC12" s="36"/>
      <c r="AD12" s="36"/>
      <c r="AE12" s="36"/>
      <c r="AF12" s="36"/>
      <c r="AG12" s="37"/>
      <c r="AH12" s="37"/>
      <c r="AI12" s="37"/>
      <c r="AJ12" s="37"/>
      <c r="AK12" s="37"/>
      <c r="AL12" s="37"/>
      <c r="AM12" s="37"/>
      <c r="AN12" s="37"/>
    </row>
    <row r="13" spans="2:40" s="10" customFormat="1" ht="17.25" thickBot="1">
      <c r="B13" s="47" t="s">
        <v>94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2:40" s="10" customFormat="1" ht="16.5" thickTop="1">
      <c r="B14" s="101" t="s">
        <v>182</v>
      </c>
      <c r="C14" s="102"/>
      <c r="D14" s="102"/>
      <c r="E14" s="102"/>
      <c r="F14" s="102"/>
      <c r="G14" s="102"/>
      <c r="H14" s="102"/>
      <c r="I14" s="102"/>
      <c r="J14" s="49" t="s">
        <v>209</v>
      </c>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2:40" s="10" customFormat="1" ht="15.75">
      <c r="B15" s="103" t="s">
        <v>194</v>
      </c>
      <c r="C15" s="102"/>
      <c r="D15" s="102"/>
      <c r="E15" s="102"/>
      <c r="F15" s="102"/>
      <c r="G15" s="102"/>
      <c r="H15" s="102"/>
      <c r="I15" s="102"/>
      <c r="J15" s="66" t="s">
        <v>206</v>
      </c>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2:40" s="10" customFormat="1" ht="15.75">
      <c r="B16" s="103" t="s">
        <v>195</v>
      </c>
      <c r="C16" s="102"/>
      <c r="D16" s="102"/>
      <c r="E16" s="102"/>
      <c r="F16" s="102"/>
      <c r="G16" s="102"/>
      <c r="H16" s="102"/>
      <c r="I16" s="102"/>
      <c r="J16" s="66" t="s">
        <v>207</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2:41" s="10" customFormat="1" ht="15.75">
      <c r="B17" s="103" t="s">
        <v>183</v>
      </c>
      <c r="C17" s="102"/>
      <c r="D17" s="102"/>
      <c r="E17" s="102"/>
      <c r="F17" s="102"/>
      <c r="G17" s="102"/>
      <c r="H17" s="102"/>
      <c r="I17" s="102"/>
      <c r="J17" s="66" t="s">
        <v>161</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row>
    <row r="18" spans="2:41" s="10" customFormat="1" ht="15.75">
      <c r="B18" s="103" t="s">
        <v>184</v>
      </c>
      <c r="C18" s="102"/>
      <c r="D18" s="102"/>
      <c r="E18" s="102"/>
      <c r="F18" s="102"/>
      <c r="G18" s="102"/>
      <c r="H18" s="102"/>
      <c r="I18" s="102"/>
      <c r="J18" s="66" t="s">
        <v>162</v>
      </c>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row>
    <row r="19" spans="2:41" s="10" customFormat="1" ht="15.75">
      <c r="B19" s="103" t="s">
        <v>192</v>
      </c>
      <c r="C19" s="104"/>
      <c r="D19" s="102"/>
      <c r="E19" s="102"/>
      <c r="F19" s="102"/>
      <c r="G19" s="102"/>
      <c r="H19" s="102"/>
      <c r="I19" s="102"/>
      <c r="J19" s="66" t="s">
        <v>208</v>
      </c>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row>
    <row r="20" spans="2:41" s="10" customFormat="1" ht="15.75">
      <c r="B20" s="78"/>
      <c r="C20" s="80" t="s">
        <v>193</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1" s="10" customFormat="1" ht="16.5">
      <c r="B21" s="51"/>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row>
    <row r="22" spans="2:41" s="10" customFormat="1" ht="15.75">
      <c r="B22" s="105"/>
      <c r="C22" s="106" t="s">
        <v>134</v>
      </c>
      <c r="D22" s="107" t="s">
        <v>129</v>
      </c>
      <c r="E22" s="151" t="s">
        <v>213</v>
      </c>
      <c r="F22" s="239" t="s">
        <v>136</v>
      </c>
      <c r="G22" s="240"/>
      <c r="H22" s="241"/>
      <c r="I22" s="106" t="s">
        <v>136</v>
      </c>
      <c r="J22" s="239" t="s">
        <v>136</v>
      </c>
      <c r="K22" s="240"/>
      <c r="L22" s="241"/>
      <c r="M22" s="107" t="s">
        <v>129</v>
      </c>
      <c r="N22" s="107" t="s">
        <v>129</v>
      </c>
      <c r="O22" s="106" t="s">
        <v>135</v>
      </c>
      <c r="P22" s="107" t="s">
        <v>129</v>
      </c>
      <c r="Q22" s="106" t="s">
        <v>135</v>
      </c>
      <c r="R22" s="151" t="s">
        <v>213</v>
      </c>
      <c r="S22" s="239" t="s">
        <v>135</v>
      </c>
      <c r="T22" s="241"/>
      <c r="U22" s="178" t="s">
        <v>213</v>
      </c>
      <c r="V22" s="242" t="s">
        <v>133</v>
      </c>
      <c r="W22" s="243"/>
      <c r="X22" s="243"/>
      <c r="Y22" s="243"/>
      <c r="Z22" s="243"/>
      <c r="AA22" s="243"/>
      <c r="AB22" s="243"/>
      <c r="AC22" s="243"/>
      <c r="AD22" s="243"/>
      <c r="AE22" s="244"/>
      <c r="AF22" s="107" t="s">
        <v>129</v>
      </c>
      <c r="AG22" s="220" t="s">
        <v>135</v>
      </c>
      <c r="AH22" s="221"/>
      <c r="AI22" s="221"/>
      <c r="AJ22" s="221"/>
      <c r="AK22" s="221"/>
      <c r="AL22" s="221"/>
      <c r="AM22" s="221"/>
      <c r="AN22" s="222"/>
    </row>
    <row r="23" spans="2:41" s="12" customFormat="1" ht="13.5" customHeight="1">
      <c r="B23" s="227" t="s">
        <v>25</v>
      </c>
      <c r="C23" s="223" t="s">
        <v>19</v>
      </c>
      <c r="D23" s="227" t="s">
        <v>1</v>
      </c>
      <c r="E23" s="227" t="s">
        <v>1</v>
      </c>
      <c r="F23" s="231" t="s">
        <v>2</v>
      </c>
      <c r="G23" s="232"/>
      <c r="H23" s="233"/>
      <c r="I23" s="227" t="s">
        <v>210</v>
      </c>
      <c r="J23" s="231" t="s">
        <v>3</v>
      </c>
      <c r="K23" s="232"/>
      <c r="L23" s="233"/>
      <c r="M23" s="227" t="s">
        <v>43</v>
      </c>
      <c r="N23" s="228" t="s">
        <v>26</v>
      </c>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30"/>
    </row>
    <row r="24" spans="2:41" s="12" customFormat="1" ht="40.5" customHeight="1">
      <c r="B24" s="227"/>
      <c r="C24" s="238"/>
      <c r="D24" s="227"/>
      <c r="E24" s="227"/>
      <c r="F24" s="234"/>
      <c r="G24" s="235"/>
      <c r="H24" s="236"/>
      <c r="I24" s="227"/>
      <c r="J24" s="234"/>
      <c r="K24" s="235"/>
      <c r="L24" s="236"/>
      <c r="M24" s="227"/>
      <c r="N24" s="225" t="s">
        <v>6</v>
      </c>
      <c r="O24" s="226"/>
      <c r="P24" s="225" t="s">
        <v>211</v>
      </c>
      <c r="Q24" s="226"/>
      <c r="R24" s="156" t="s">
        <v>221</v>
      </c>
      <c r="S24" s="227" t="s">
        <v>4</v>
      </c>
      <c r="T24" s="227" t="s">
        <v>7</v>
      </c>
      <c r="U24" s="223" t="s">
        <v>39</v>
      </c>
      <c r="V24" s="245" t="s">
        <v>5</v>
      </c>
      <c r="W24" s="245"/>
      <c r="X24" s="245"/>
      <c r="Y24" s="245"/>
      <c r="Z24" s="245"/>
      <c r="AA24" s="245"/>
      <c r="AB24" s="245"/>
      <c r="AC24" s="245"/>
      <c r="AD24" s="245"/>
      <c r="AE24" s="245"/>
      <c r="AF24" s="223" t="s">
        <v>13</v>
      </c>
      <c r="AG24" s="225" t="s">
        <v>143</v>
      </c>
      <c r="AH24" s="226"/>
      <c r="AI24" s="225" t="s">
        <v>217</v>
      </c>
      <c r="AJ24" s="226"/>
      <c r="AK24" s="225" t="s">
        <v>14</v>
      </c>
      <c r="AL24" s="226"/>
      <c r="AM24" s="225" t="s">
        <v>219</v>
      </c>
      <c r="AN24" s="226"/>
    </row>
    <row r="25" spans="2:41" s="12" customFormat="1" ht="31.5" customHeight="1">
      <c r="B25" s="227"/>
      <c r="C25" s="224"/>
      <c r="D25" s="227"/>
      <c r="E25" s="227"/>
      <c r="F25" s="157" t="s">
        <v>87</v>
      </c>
      <c r="G25" s="158" t="s">
        <v>90</v>
      </c>
      <c r="H25" s="159" t="s">
        <v>88</v>
      </c>
      <c r="I25" s="227"/>
      <c r="J25" s="157" t="s">
        <v>87</v>
      </c>
      <c r="K25" s="158" t="s">
        <v>91</v>
      </c>
      <c r="L25" s="159" t="s">
        <v>88</v>
      </c>
      <c r="M25" s="227"/>
      <c r="N25" s="160" t="s">
        <v>212</v>
      </c>
      <c r="O25" s="161" t="s">
        <v>226</v>
      </c>
      <c r="P25" s="162" t="s">
        <v>28</v>
      </c>
      <c r="Q25" s="160" t="s">
        <v>29</v>
      </c>
      <c r="R25" s="161" t="s">
        <v>226</v>
      </c>
      <c r="S25" s="245"/>
      <c r="T25" s="227"/>
      <c r="U25" s="224"/>
      <c r="V25" s="163" t="s">
        <v>8</v>
      </c>
      <c r="W25" s="163" t="s">
        <v>9</v>
      </c>
      <c r="X25" s="163" t="s">
        <v>8</v>
      </c>
      <c r="Y25" s="163" t="s">
        <v>9</v>
      </c>
      <c r="Z25" s="163" t="s">
        <v>8</v>
      </c>
      <c r="AA25" s="163" t="s">
        <v>9</v>
      </c>
      <c r="AB25" s="163" t="s">
        <v>8</v>
      </c>
      <c r="AC25" s="163" t="s">
        <v>9</v>
      </c>
      <c r="AD25" s="163" t="s">
        <v>8</v>
      </c>
      <c r="AE25" s="163" t="s">
        <v>9</v>
      </c>
      <c r="AF25" s="224"/>
      <c r="AG25" s="160" t="s">
        <v>17</v>
      </c>
      <c r="AH25" s="161" t="s">
        <v>226</v>
      </c>
      <c r="AI25" s="161" t="s">
        <v>17</v>
      </c>
      <c r="AJ25" s="161" t="s">
        <v>226</v>
      </c>
      <c r="AK25" s="160" t="s">
        <v>17</v>
      </c>
      <c r="AL25" s="161" t="s">
        <v>226</v>
      </c>
      <c r="AM25" s="161" t="s">
        <v>17</v>
      </c>
      <c r="AN25" s="161" t="s">
        <v>15</v>
      </c>
    </row>
    <row r="26" spans="2:41" ht="30" customHeight="1">
      <c r="B26" s="108" t="s">
        <v>30</v>
      </c>
      <c r="C26" s="109" t="s">
        <v>31</v>
      </c>
      <c r="D26" s="110" t="s">
        <v>44</v>
      </c>
      <c r="E26" s="111" t="str">
        <f t="shared" ref="E26:E31" si="0">CONCATENATE(D26,"_")</f>
        <v>HFC32_</v>
      </c>
      <c r="F26" s="112">
        <v>45292</v>
      </c>
      <c r="G26" s="113" t="s">
        <v>92</v>
      </c>
      <c r="H26" s="114">
        <v>45657</v>
      </c>
      <c r="I26" s="108" t="s">
        <v>32</v>
      </c>
      <c r="J26" s="112">
        <v>45292</v>
      </c>
      <c r="K26" s="113" t="s">
        <v>92</v>
      </c>
      <c r="L26" s="114">
        <v>45657</v>
      </c>
      <c r="M26" s="115" t="s">
        <v>187</v>
      </c>
      <c r="N26" s="116">
        <v>100</v>
      </c>
      <c r="O26" s="117">
        <f>ROUND(N26*VLOOKUP($D:$D,選択肢!$D:$F,3,),0)</f>
        <v>67500</v>
      </c>
      <c r="P26" s="118">
        <v>0.1</v>
      </c>
      <c r="Q26" s="119">
        <f t="shared" ref="Q26:Q27" si="1">ROUND(N26*P26,0)</f>
        <v>10</v>
      </c>
      <c r="R26" s="120">
        <f>Q26*VLOOKUP($D:$D,選択肢!$D:$F,3,)</f>
        <v>6750</v>
      </c>
      <c r="S26" s="119">
        <f t="shared" ref="S26:S27" si="2">N26-Q26</f>
        <v>90</v>
      </c>
      <c r="T26" s="121">
        <f>VLOOKUP(D:D,選択肢!$D:$F,2,)</f>
        <v>0.94</v>
      </c>
      <c r="U26" s="122">
        <f>IF(ISERROR(MATCH($M26,選択肢!$B$9:$B$19,0)),0,1)</f>
        <v>1</v>
      </c>
      <c r="V26" s="122" t="str">
        <f>IF($U26=0,"",_xlfn.IFNA(VLOOKUP($M26,選択肢!$B$9:$I$19,4,),""))</f>
        <v>SiF4</v>
      </c>
      <c r="W26" s="123">
        <f>IF($U26=0,"",IFERROR($S26*$T26*(VLOOKUP($M26,選択肢!$B$9:$S$19,14,FALSE)/VLOOKUP($M26,選択肢!$B$9:$S$19,3,FALSE)),""))</f>
        <v>84.6</v>
      </c>
      <c r="X26" s="122" t="str">
        <f>IF($U26=0,"",_xlfn.IFNA(VLOOKUP($M26,選択肢!$B$9:$I$19,5,),""))</f>
        <v>HCN</v>
      </c>
      <c r="Y26" s="123">
        <f>IF($U26=0,"",IFERROR($S26*$T26*(VLOOKUP($M26,選択肢!$B$9:$S$19,15,FALSE)/VLOOKUP($M26,選択肢!$B$9:$S$19,3,FALSE)),""))</f>
        <v>14.642307692307691</v>
      </c>
      <c r="Z26" s="122" t="str">
        <f>IF($U26=0,"",_xlfn.IFNA(VLOOKUP($M26,選択肢!$B$9:$I$19,6,),""))</f>
        <v>NH3</v>
      </c>
      <c r="AA26" s="123">
        <f>IF($U26=0,"",IF(Z26="-","-",IFERROR($S26*$T26*(VLOOKUP($M26,選択肢!$B$9:$S$19,16,FALSE)/VLOOKUP($M26,選択肢!$B$9:$S$19,3,FALSE)),"要計算")))</f>
        <v>9.2192307692307693</v>
      </c>
      <c r="AB26" s="122" t="str">
        <f>IF($U26=0,"",_xlfn.IFNA(VLOOKUP($M26,選択肢!$B$9:$I$19,7,),""))</f>
        <v>CO</v>
      </c>
      <c r="AC26" s="123">
        <f>IF($U26=0,"",IF(AB26="-","-",IFERROR($S26*$T26*(VLOOKUP($M26,選択肢!$B$9:$S$19,17,FALSE)/VLOOKUP($M26,選択肢!$B$9:$S$19,3,FALSE)),"要計算")))</f>
        <v>30.369230769230768</v>
      </c>
      <c r="AD26" s="122" t="str">
        <f>IF($U26=0,"",_xlfn.IFNA(VLOOKUP($M26,選択肢!$B$9:$I$19,8,),""))</f>
        <v>H2O</v>
      </c>
      <c r="AE26" s="123">
        <f>IF($U26=0,"",IF(AD26="-","-",IFERROR($S26*$T26*(VLOOKUP($M26,選択肢!$B$9:$S$19,18,FALSE)/VLOOKUP($M26,選択肢!$B$9:$S$19,3,FALSE)),"要計算")))</f>
        <v>9.7615384615384606</v>
      </c>
      <c r="AF26" s="124">
        <v>0.9</v>
      </c>
      <c r="AG26" s="119">
        <f t="shared" ref="AG26:AG27" si="3">ROUND(S26*(1-T26)*(1-AF26),0)</f>
        <v>1</v>
      </c>
      <c r="AH26" s="117">
        <f>ROUND(AG26*VLOOKUP($D:$D,選択肢!$D:$F,3,),0)</f>
        <v>675</v>
      </c>
      <c r="AI26" s="125">
        <f t="shared" ref="AI26:AI27" si="4">S26*(1-T26)*(1-AF26)</f>
        <v>0.54000000000000037</v>
      </c>
      <c r="AJ26" s="125">
        <f>AG26*VLOOKUP($D:$D,選択肢!$D:$F,3,)</f>
        <v>675</v>
      </c>
      <c r="AK26" s="119">
        <f>IF(N26="","",N26-AG26)</f>
        <v>99</v>
      </c>
      <c r="AL26" s="117">
        <f>ROUND(AK26*VLOOKUP($D:$D,選択肢!$D:$F,3,),0)</f>
        <v>66825</v>
      </c>
      <c r="AM26" s="126">
        <f t="shared" ref="AM26:AM27" si="5">N26-AG26</f>
        <v>99</v>
      </c>
      <c r="AN26" s="127">
        <f>AK26*VLOOKUP($D:$D,選択肢!$D:$F,3,)</f>
        <v>66825</v>
      </c>
    </row>
    <row r="27" spans="2:41" ht="30" customHeight="1">
      <c r="B27" s="108" t="s">
        <v>30</v>
      </c>
      <c r="C27" s="109" t="s">
        <v>31</v>
      </c>
      <c r="D27" s="110" t="s">
        <v>46</v>
      </c>
      <c r="E27" s="111" t="str">
        <f t="shared" si="0"/>
        <v>HFC23_</v>
      </c>
      <c r="F27" s="112">
        <v>45292</v>
      </c>
      <c r="G27" s="113" t="s">
        <v>92</v>
      </c>
      <c r="H27" s="114">
        <v>45657</v>
      </c>
      <c r="I27" s="108" t="s">
        <v>40</v>
      </c>
      <c r="J27" s="112">
        <v>45292</v>
      </c>
      <c r="K27" s="113" t="s">
        <v>92</v>
      </c>
      <c r="L27" s="114">
        <v>45657</v>
      </c>
      <c r="M27" s="115" t="s">
        <v>149</v>
      </c>
      <c r="N27" s="116">
        <v>100</v>
      </c>
      <c r="O27" s="117">
        <f>ROUND(N27*VLOOKUP($D:$D,選択肢!$D:$F,3,),0)</f>
        <v>1480000</v>
      </c>
      <c r="P27" s="118">
        <v>0.1</v>
      </c>
      <c r="Q27" s="119">
        <f t="shared" si="1"/>
        <v>10</v>
      </c>
      <c r="R27" s="120">
        <f>Q27*VLOOKUP($D:$D,選択肢!$D:$F,3,)</f>
        <v>148000</v>
      </c>
      <c r="S27" s="119">
        <f t="shared" si="2"/>
        <v>90</v>
      </c>
      <c r="T27" s="121">
        <f>VLOOKUP(D:D,選択肢!$D:$F,2,)</f>
        <v>0.6</v>
      </c>
      <c r="U27" s="122">
        <f>IF(ISERROR(MATCH($M27,選択肢!$B$9:$B$19,0)),0,1)</f>
        <v>1</v>
      </c>
      <c r="V27" s="122" t="str">
        <f>IF($U27=0,"",_xlfn.IFNA(VLOOKUP($M27,選択肢!$B$9:$I$19,4,),""))</f>
        <v>CO2</v>
      </c>
      <c r="W27" s="123">
        <f>IF($U27=0,"",IFERROR($S27*$T27*(VLOOKUP($M27,選択肢!$B$9:$S$19,14,FALSE)/VLOOKUP($M27,選択肢!$B$9:$S$19,3,FALSE)),""))</f>
        <v>33.942857142857143</v>
      </c>
      <c r="X27" s="122" t="str">
        <f>IF($U27=0,"",_xlfn.IFNA(VLOOKUP($M27,選択肢!$B$9:$I$19,5,),""))</f>
        <v>SiF4</v>
      </c>
      <c r="Y27" s="123">
        <f>IF($U27=0,"",IFERROR($S27*$T27*(VLOOKUP($M27,選択肢!$B$9:$S$19,15,FALSE)/VLOOKUP($M27,選択肢!$B$9:$S$19,3,FALSE)),""))</f>
        <v>40.114285714285714</v>
      </c>
      <c r="Z27" s="122" t="str">
        <f>IF($U27=0,"",_xlfn.IFNA(VLOOKUP($M27,選択肢!$B$9:$I$19,6,),""))</f>
        <v>HF</v>
      </c>
      <c r="AA27" s="123">
        <f>IF($U27=0,"",IF(Z27="-","-",IFERROR($S27*$T27*(VLOOKUP($M27,選択肢!$B$9:$S$19,16,FALSE)/VLOOKUP($M27,選択肢!$B$9:$S$19,3,FALSE)),"要計算")))</f>
        <v>15.428571428571427</v>
      </c>
      <c r="AB27" s="122" t="str">
        <f>IF($U27=0,"",_xlfn.IFNA(VLOOKUP($M27,選択肢!$B$9:$I$19,7,),""))</f>
        <v>-</v>
      </c>
      <c r="AC27" s="123" t="str">
        <f>IF($U27=0,"",IF(AB27="-","-",IFERROR($S27*$T27*(VLOOKUP($M27,選択肢!$B$9:$S$19,17,FALSE)/VLOOKUP($M27,選択肢!$B$9:$S$19,3,FALSE)),"要計算")))</f>
        <v>-</v>
      </c>
      <c r="AD27" s="122" t="str">
        <f>IF($U27=0,"",_xlfn.IFNA(VLOOKUP($M27,選択肢!$B$9:$I$19,8,),""))</f>
        <v>-</v>
      </c>
      <c r="AE27" s="128" t="str">
        <f>IF($U27=0,"",IF(AD27="-","-",IFERROR($S27*$T27*(VLOOKUP($M27,選択肢!$B$9:$S$19,18,FALSE)/VLOOKUP($M27,選択肢!$B$9:$S$19,3,FALSE)),"要計算")))</f>
        <v>-</v>
      </c>
      <c r="AF27" s="124">
        <v>0.9</v>
      </c>
      <c r="AG27" s="119">
        <f t="shared" si="3"/>
        <v>4</v>
      </c>
      <c r="AH27" s="117">
        <f>ROUND(AG27*VLOOKUP($D:$D,選択肢!$D:$F,3,),0)</f>
        <v>59200</v>
      </c>
      <c r="AI27" s="125">
        <f t="shared" si="4"/>
        <v>3.5999999999999992</v>
      </c>
      <c r="AJ27" s="125">
        <f>AG27*VLOOKUP($D:$D,選択肢!$D:$F,3,)</f>
        <v>59200</v>
      </c>
      <c r="AK27" s="119">
        <f t="shared" ref="AK27:AK32" si="6">IF(N27="","",N27-AG27)</f>
        <v>96</v>
      </c>
      <c r="AL27" s="117">
        <f>ROUND(AK27*VLOOKUP($D:$D,選択肢!$D:$F,3,),0)</f>
        <v>1420800</v>
      </c>
      <c r="AM27" s="126">
        <f t="shared" si="5"/>
        <v>96</v>
      </c>
      <c r="AN27" s="127">
        <f>AK27*VLOOKUP($D:$D,選択肢!$D:$F,3,)</f>
        <v>1420800</v>
      </c>
    </row>
    <row r="28" spans="2:41" ht="34.5" customHeight="1">
      <c r="B28" s="110">
        <v>1</v>
      </c>
      <c r="C28" s="150" t="str">
        <f>IF(VLOOKUP($B28,別紙１!$C$47:$I$51,5,)&lt;&gt;0,VLOOKUP($B28,別紙１!$C$47:$I$51,5,),"")</f>
        <v/>
      </c>
      <c r="D28" s="129"/>
      <c r="E28" s="111" t="str">
        <f t="shared" si="0"/>
        <v>_</v>
      </c>
      <c r="F28" s="130"/>
      <c r="G28" s="155" t="s">
        <v>89</v>
      </c>
      <c r="H28" s="132"/>
      <c r="I28" s="133"/>
      <c r="J28" s="130"/>
      <c r="K28" s="131" t="s">
        <v>89</v>
      </c>
      <c r="L28" s="132"/>
      <c r="M28" s="134"/>
      <c r="N28" s="135"/>
      <c r="O28" s="136" t="str">
        <f>IF(N28="","",ROUND(N28*VLOOKUP($D:$D,選択肢!$D:$F,3,),0))</f>
        <v/>
      </c>
      <c r="P28" s="137"/>
      <c r="Q28" s="138" t="str">
        <f>IF(N28="","",ROUND(N28*P28,0))</f>
        <v/>
      </c>
      <c r="R28" s="139" t="str">
        <f>IF(N28="","",Q28*VLOOKUP($D:$D,選択肢!$D:$F,3,))</f>
        <v/>
      </c>
      <c r="S28" s="140" t="str">
        <f>IF($N28="","",N28-Q28)</f>
        <v/>
      </c>
      <c r="T28" s="141" t="str">
        <f>IF(N28="","",VLOOKUP(D:D,選択肢!$D:$F,2,))</f>
        <v/>
      </c>
      <c r="U28" s="142">
        <f>IF(ISERROR(MATCH($M28,選択肢!$B$9:$B$19,0)),0,1)</f>
        <v>0</v>
      </c>
      <c r="V28" s="152" t="str">
        <f>IF($U28=0,"",_xlfn.IFNA(VLOOKUP($M28,選択肢!$B$9:$I$19,4,),""))</f>
        <v/>
      </c>
      <c r="W28" s="153" t="str">
        <f>IF($U28=0,"",IFERROR($S28*$T28*(VLOOKUP($M28,選択肢!$B$9:$S$19,14,FALSE)/VLOOKUP($M28,選択肢!$B$9:$S$19,3,FALSE)),""))</f>
        <v/>
      </c>
      <c r="X28" s="152" t="str">
        <f>IF($U28=0,"",_xlfn.IFNA(VLOOKUP($M28,選択肢!$B$9:$I$19,5,),""))</f>
        <v/>
      </c>
      <c r="Y28" s="153" t="str">
        <f>IF($U28=0,"",IFERROR($S28*$T28*(VLOOKUP($M28,選択肢!$B$9:$S$19,15,FALSE)/VLOOKUP($M28,選択肢!$B$9:$S$19,3,FALSE)),""))</f>
        <v/>
      </c>
      <c r="Z28" s="152" t="str">
        <f>IF($U28=0,"",_xlfn.IFNA(VLOOKUP($M28,選択肢!$B$9:$I$19,6,),""))</f>
        <v/>
      </c>
      <c r="AA28" s="153" t="str">
        <f>IF($U28=0,"",IF(Z28="-","-",IFERROR($S28*$T28*(VLOOKUP($M28,選択肢!$B$9:$S$19,16,FALSE)/VLOOKUP($M28,選択肢!$B$9:$S$19,3,FALSE)),"要計算")))</f>
        <v/>
      </c>
      <c r="AB28" s="152" t="str">
        <f>IF($U28=0,"",_xlfn.IFNA(VLOOKUP($M28,選択肢!$B$9:$I$19,7,),""))</f>
        <v/>
      </c>
      <c r="AC28" s="153" t="str">
        <f>IF($U28=0,"",IF(AB28="-","-",IFERROR($S28*$T28*(VLOOKUP($M28,選択肢!$B$9:$S$19,17,FALSE)/VLOOKUP($M28,選択肢!$B$9:$S$19,3,FALSE)),"要計算")))</f>
        <v/>
      </c>
      <c r="AD28" s="152" t="str">
        <f>IF($U28=0,"",_xlfn.IFNA(VLOOKUP($M28,選択肢!$B$9:$I$19,8,),""))</f>
        <v/>
      </c>
      <c r="AE28" s="154" t="str">
        <f>IF($U28=0,"",IF(AD28="-","-",IFERROR($S28*$T28*(VLOOKUP($M28,選択肢!$B$9:$S$19,18,FALSE)/VLOOKUP($M28,選択肢!$B$9:$S$19,3,FALSE)),"要計算")))</f>
        <v/>
      </c>
      <c r="AF28" s="143"/>
      <c r="AG28" s="140" t="str">
        <f>IF(N28="","",ROUND(S28*(1-T28)*(1-AF28),0))</f>
        <v/>
      </c>
      <c r="AH28" s="136" t="str">
        <f>IF(N28="","",ROUND(AG28*VLOOKUP($D:$D,選択肢!$D:$F,3,),0))</f>
        <v/>
      </c>
      <c r="AI28" s="144" t="str">
        <f>IFERROR(S28*(1-T28)*(1-AF28),"")</f>
        <v/>
      </c>
      <c r="AJ28" s="144" t="str">
        <f>IFERROR(AG28*VLOOKUP($D:$D,選択肢!$D:$F,3,),"")</f>
        <v/>
      </c>
      <c r="AK28" s="140" t="str">
        <f t="shared" si="6"/>
        <v/>
      </c>
      <c r="AL28" s="136" t="str">
        <f>IF(N28="","",ROUND(AK28*VLOOKUP($D:$D,選択肢!$D:$F,3,),0))</f>
        <v/>
      </c>
      <c r="AM28" s="145" t="str">
        <f>IFERROR(N28-AG28,"")</f>
        <v/>
      </c>
      <c r="AN28" s="146" t="str">
        <f>IFERROR(AK28*VLOOKUP($D:$D,選択肢!$D:$F,3,),"")</f>
        <v/>
      </c>
      <c r="AO28" s="96" t="str">
        <f>IFERROR(IF(N28=AG28+AK28,"OK!!","再計算"),"")</f>
        <v/>
      </c>
    </row>
    <row r="29" spans="2:41" ht="34.5" customHeight="1">
      <c r="B29" s="110">
        <v>2</v>
      </c>
      <c r="C29" s="150" t="str">
        <f>IF(VLOOKUP($B29,別紙１!$C$47:$I$51,5,)&lt;&gt;0,VLOOKUP($B29,別紙１!$C$47:$I$51,5,),"")</f>
        <v/>
      </c>
      <c r="D29" s="129"/>
      <c r="E29" s="111" t="str">
        <f t="shared" si="0"/>
        <v>_</v>
      </c>
      <c r="F29" s="147"/>
      <c r="G29" s="131" t="s">
        <v>89</v>
      </c>
      <c r="H29" s="148"/>
      <c r="I29" s="133"/>
      <c r="J29" s="147"/>
      <c r="K29" s="131" t="s">
        <v>89</v>
      </c>
      <c r="L29" s="148"/>
      <c r="M29" s="134"/>
      <c r="N29" s="135"/>
      <c r="O29" s="136" t="str">
        <f>IF(N29="","",ROUND(N29*VLOOKUP($D:$D,選択肢!$D:$F,3,),0))</f>
        <v/>
      </c>
      <c r="P29" s="137"/>
      <c r="Q29" s="138" t="str">
        <f t="shared" ref="Q29:Q32" si="7">IF(N29="","",ROUND(N29*P29,0))</f>
        <v/>
      </c>
      <c r="R29" s="139" t="str">
        <f>IF(N29="","",Q29*VLOOKUP($D:$D,選択肢!$D:$F,3,))</f>
        <v/>
      </c>
      <c r="S29" s="140" t="str">
        <f t="shared" ref="S29:S32" si="8">IF($N29="","",N29-Q29)</f>
        <v/>
      </c>
      <c r="T29" s="141" t="str">
        <f>IF(N29="","",VLOOKUP(D:D,選択肢!$D:$F,2,))</f>
        <v/>
      </c>
      <c r="U29" s="142">
        <f>IF(ISERROR(MATCH($M29,選択肢!$B$9:$B$19,0)),0,1)</f>
        <v>0</v>
      </c>
      <c r="V29" s="152" t="str">
        <f>IF($U29=0,"",_xlfn.IFNA(VLOOKUP($M29,選択肢!$B$9:$I$19,4,),""))</f>
        <v/>
      </c>
      <c r="W29" s="153" t="str">
        <f>IF($U29=0,"",IFERROR($S29*$T29*(VLOOKUP($M29,選択肢!$B$9:$S$19,14,FALSE)/VLOOKUP($M29,選択肢!$B$9:$S$19,3,FALSE)),""))</f>
        <v/>
      </c>
      <c r="X29" s="152" t="str">
        <f>IF($U29=0,"",_xlfn.IFNA(VLOOKUP($M29,選択肢!$B$9:$I$19,5,),""))</f>
        <v/>
      </c>
      <c r="Y29" s="153" t="str">
        <f>IF($U29=0,"",IFERROR($S29*$T29*(VLOOKUP($M29,選択肢!$B$9:$S$19,15,FALSE)/VLOOKUP($M29,選択肢!$B$9:$S$19,3,FALSE)),""))</f>
        <v/>
      </c>
      <c r="Z29" s="152" t="str">
        <f>IF($U29=0,"",_xlfn.IFNA(VLOOKUP($M29,選択肢!$B$9:$I$19,6,),""))</f>
        <v/>
      </c>
      <c r="AA29" s="153" t="str">
        <f>IF($U29=0,"",IF(Z29="-","-",IFERROR($S29*$T29*(VLOOKUP($M29,選択肢!$B$9:$S$19,16,FALSE)/VLOOKUP($M29,選択肢!$B$9:$S$19,3,FALSE)),"要計算")))</f>
        <v/>
      </c>
      <c r="AB29" s="152" t="str">
        <f>IF($U29=0,"",_xlfn.IFNA(VLOOKUP($M29,選択肢!$B$9:$I$19,7,),""))</f>
        <v/>
      </c>
      <c r="AC29" s="153" t="str">
        <f>IF($U29=0,"",IF(AB29="-","-",IFERROR($S29*$T29*(VLOOKUP($M29,選択肢!$B$9:$S$19,17,FALSE)/VLOOKUP($M29,選択肢!$B$9:$S$19,3,FALSE)),"要計算")))</f>
        <v/>
      </c>
      <c r="AD29" s="152" t="str">
        <f>IF($U29=0,"",_xlfn.IFNA(VLOOKUP($M29,選択肢!$B$9:$I$19,8,),""))</f>
        <v/>
      </c>
      <c r="AE29" s="154" t="str">
        <f>IF($U29=0,"",IF(AD29="-","-",IFERROR($S29*$T29*(VLOOKUP($M29,選択肢!$B$9:$S$19,18,FALSE)/VLOOKUP($M29,選択肢!$B$9:$S$19,3,FALSE)),"要計算")))</f>
        <v/>
      </c>
      <c r="AF29" s="143"/>
      <c r="AG29" s="140" t="str">
        <f t="shared" ref="AG29:AG32" si="9">IF(N29="","",ROUND(S29*(1-T29)*(1-AF29),0))</f>
        <v/>
      </c>
      <c r="AH29" s="136" t="str">
        <f>IF(N29="","",ROUND(AG29*VLOOKUP($D:$D,選択肢!$D:$F,3,),0))</f>
        <v/>
      </c>
      <c r="AI29" s="144" t="str">
        <f>IFERROR(S29*(1-T29)*(1-AF29),"")</f>
        <v/>
      </c>
      <c r="AJ29" s="144" t="str">
        <f>IFERROR(AG29*VLOOKUP($D:$D,選択肢!$D:$F,3,),"")</f>
        <v/>
      </c>
      <c r="AK29" s="140" t="str">
        <f t="shared" si="6"/>
        <v/>
      </c>
      <c r="AL29" s="136" t="str">
        <f>IF(N29="","",ROUND(AK29*VLOOKUP($D:$D,選択肢!$D:$F,3,),0))</f>
        <v/>
      </c>
      <c r="AM29" s="145" t="str">
        <f t="shared" ref="AM29:AM32" si="10">IFERROR(N29-AG29,"")</f>
        <v/>
      </c>
      <c r="AN29" s="146" t="str">
        <f>IFERROR(AK29*VLOOKUP($D:$D,選択肢!$D:$F,3,),"")</f>
        <v/>
      </c>
      <c r="AO29" s="96" t="str">
        <f t="shared" ref="AO29:AO32" si="11">IFERROR(IF(N29=AG29+AK29,"OK!!","再計算"),"")</f>
        <v/>
      </c>
    </row>
    <row r="30" spans="2:41" ht="34.5" customHeight="1">
      <c r="B30" s="110">
        <v>3</v>
      </c>
      <c r="C30" s="150" t="str">
        <f>IF(VLOOKUP($B30,別紙１!$C$47:$I$51,5,)&lt;&gt;0,VLOOKUP($B30,別紙１!$C$47:$I$51,5,),"")</f>
        <v/>
      </c>
      <c r="D30" s="129"/>
      <c r="E30" s="111" t="str">
        <f t="shared" si="0"/>
        <v>_</v>
      </c>
      <c r="F30" s="147"/>
      <c r="G30" s="131" t="s">
        <v>89</v>
      </c>
      <c r="H30" s="148"/>
      <c r="I30" s="133"/>
      <c r="J30" s="147"/>
      <c r="K30" s="131" t="s">
        <v>89</v>
      </c>
      <c r="L30" s="148"/>
      <c r="M30" s="149"/>
      <c r="N30" s="135"/>
      <c r="O30" s="136" t="str">
        <f>IF(N30="","",ROUND(N30*VLOOKUP($D:$D,選択肢!$D:$F,3,),0))</f>
        <v/>
      </c>
      <c r="P30" s="137"/>
      <c r="Q30" s="138" t="str">
        <f t="shared" si="7"/>
        <v/>
      </c>
      <c r="R30" s="139" t="str">
        <f>IF(N30="","",Q30*VLOOKUP($D:$D,選択肢!$D:$F,3,))</f>
        <v/>
      </c>
      <c r="S30" s="140" t="str">
        <f t="shared" si="8"/>
        <v/>
      </c>
      <c r="T30" s="141" t="str">
        <f>IF(N30="","",VLOOKUP(D:D,選択肢!$D:$F,2,))</f>
        <v/>
      </c>
      <c r="U30" s="142">
        <f>IF(ISERROR(MATCH($M30,選択肢!$B$9:$B$19,0)),0,1)</f>
        <v>0</v>
      </c>
      <c r="V30" s="152" t="str">
        <f>IF($U30=0,"",_xlfn.IFNA(VLOOKUP($M30,選択肢!$B$9:$I$19,4,),""))</f>
        <v/>
      </c>
      <c r="W30" s="153" t="str">
        <f>IF($U30=0,"",IFERROR($S30*$T30*(VLOOKUP($M30,選択肢!$B$9:$S$19,14,FALSE)/VLOOKUP($M30,選択肢!$B$9:$S$19,3,FALSE)),""))</f>
        <v/>
      </c>
      <c r="X30" s="152" t="str">
        <f>IF($U30=0,"",_xlfn.IFNA(VLOOKUP($M30,選択肢!$B$9:$I$19,5,),""))</f>
        <v/>
      </c>
      <c r="Y30" s="153" t="str">
        <f>IF($U30=0,"",IFERROR($S30*$T30*(VLOOKUP($M30,選択肢!$B$9:$S$19,15,FALSE)/VLOOKUP($M30,選択肢!$B$9:$S$19,3,FALSE)),""))</f>
        <v/>
      </c>
      <c r="Z30" s="152" t="str">
        <f>IF($U30=0,"",_xlfn.IFNA(VLOOKUP($M30,選択肢!$B$9:$I$19,6,),""))</f>
        <v/>
      </c>
      <c r="AA30" s="153" t="str">
        <f>IF($U30=0,"",IF(Z30="-","-",IFERROR($S30*$T30*(VLOOKUP($M30,選択肢!$B$9:$S$19,16,FALSE)/VLOOKUP($M30,選択肢!$B$9:$S$19,3,FALSE)),"要計算")))</f>
        <v/>
      </c>
      <c r="AB30" s="152" t="str">
        <f>IF($U30=0,"",_xlfn.IFNA(VLOOKUP($M30,選択肢!$B$9:$I$19,7,),""))</f>
        <v/>
      </c>
      <c r="AC30" s="153" t="str">
        <f>IF($U30=0,"",IF(AB30="-","-",IFERROR($S30*$T30*(VLOOKUP($M30,選択肢!$B$9:$S$19,17,FALSE)/VLOOKUP($M30,選択肢!$B$9:$S$19,3,FALSE)),"要計算")))</f>
        <v/>
      </c>
      <c r="AD30" s="152" t="str">
        <f>IF($U30=0,"",_xlfn.IFNA(VLOOKUP($M30,選択肢!$B$9:$I$19,8,),""))</f>
        <v/>
      </c>
      <c r="AE30" s="154" t="str">
        <f>IF($U30=0,"",IF(AD30="-","-",IFERROR($S30*$T30*(VLOOKUP($M30,選択肢!$B$9:$S$19,18,FALSE)/VLOOKUP($M30,選択肢!$B$9:$S$19,3,FALSE)),"要計算")))</f>
        <v/>
      </c>
      <c r="AF30" s="143"/>
      <c r="AG30" s="140" t="str">
        <f t="shared" si="9"/>
        <v/>
      </c>
      <c r="AH30" s="136" t="str">
        <f>IF(N30="","",ROUND(AG30*VLOOKUP($D:$D,選択肢!$D:$F,3,),0))</f>
        <v/>
      </c>
      <c r="AI30" s="144" t="str">
        <f t="shared" ref="AI30:AI32" si="12">IFERROR(S30*(1-T30)*(1-AF30),"")</f>
        <v/>
      </c>
      <c r="AJ30" s="144" t="str">
        <f>IFERROR(AG30*VLOOKUP($D:$D,選択肢!$D:$F,3,),"")</f>
        <v/>
      </c>
      <c r="AK30" s="140" t="str">
        <f t="shared" si="6"/>
        <v/>
      </c>
      <c r="AL30" s="136" t="str">
        <f>IF(N30="","",ROUND(AK30*VLOOKUP($D:$D,選択肢!$D:$F,3,),0))</f>
        <v/>
      </c>
      <c r="AM30" s="145" t="str">
        <f t="shared" si="10"/>
        <v/>
      </c>
      <c r="AN30" s="146" t="str">
        <f>IFERROR(AK30*VLOOKUP($D:$D,選択肢!$D:$F,3,),"")</f>
        <v/>
      </c>
      <c r="AO30" s="96" t="str">
        <f t="shared" si="11"/>
        <v/>
      </c>
    </row>
    <row r="31" spans="2:41" ht="34.5" customHeight="1">
      <c r="B31" s="110">
        <v>4</v>
      </c>
      <c r="C31" s="150" t="str">
        <f>IF(VLOOKUP($B31,別紙１!$C$47:$I$51,5,)&lt;&gt;0,VLOOKUP($B31,別紙１!$C$47:$I$51,5,),"")</f>
        <v/>
      </c>
      <c r="D31" s="129"/>
      <c r="E31" s="111" t="str">
        <f t="shared" si="0"/>
        <v>_</v>
      </c>
      <c r="F31" s="147"/>
      <c r="G31" s="131" t="s">
        <v>89</v>
      </c>
      <c r="H31" s="148"/>
      <c r="I31" s="133"/>
      <c r="J31" s="147"/>
      <c r="K31" s="131" t="s">
        <v>89</v>
      </c>
      <c r="L31" s="148"/>
      <c r="M31" s="134"/>
      <c r="N31" s="135"/>
      <c r="O31" s="136" t="str">
        <f>IF(N31="","",ROUND(N31*VLOOKUP($D:$D,選択肢!$D:$F,3,),0))</f>
        <v/>
      </c>
      <c r="P31" s="137"/>
      <c r="Q31" s="138" t="str">
        <f t="shared" si="7"/>
        <v/>
      </c>
      <c r="R31" s="139" t="str">
        <f>IF(N31="","",Q31*VLOOKUP($D:$D,選択肢!$D:$F,3,))</f>
        <v/>
      </c>
      <c r="S31" s="140" t="str">
        <f t="shared" si="8"/>
        <v/>
      </c>
      <c r="T31" s="141" t="str">
        <f>IF(N31="","",VLOOKUP(D:D,選択肢!$D:$F,2,))</f>
        <v/>
      </c>
      <c r="U31" s="142">
        <f>IF(ISERROR(MATCH($M31,選択肢!$B$9:$B$19,0)),0,1)</f>
        <v>0</v>
      </c>
      <c r="V31" s="152" t="str">
        <f>IF($U31=0,"",_xlfn.IFNA(VLOOKUP($M31,選択肢!$B$9:$I$19,4,),""))</f>
        <v/>
      </c>
      <c r="W31" s="153" t="str">
        <f>IF($U31=0,"",IFERROR($S31*$T31*(VLOOKUP($M31,選択肢!$B$9:$S$19,14,FALSE)/VLOOKUP($M31,選択肢!$B$9:$S$19,3,FALSE)),""))</f>
        <v/>
      </c>
      <c r="X31" s="152" t="str">
        <f>IF($U31=0,"",_xlfn.IFNA(VLOOKUP($M31,選択肢!$B$9:$I$19,5,),""))</f>
        <v/>
      </c>
      <c r="Y31" s="153" t="str">
        <f>IF($U31=0,"",IFERROR($S31*$T31*(VLOOKUP($M31,選択肢!$B$9:$S$19,15,FALSE)/VLOOKUP($M31,選択肢!$B$9:$S$19,3,FALSE)),""))</f>
        <v/>
      </c>
      <c r="Z31" s="152" t="str">
        <f>IF($U31=0,"",_xlfn.IFNA(VLOOKUP($M31,選択肢!$B$9:$I$19,6,),""))</f>
        <v/>
      </c>
      <c r="AA31" s="153" t="str">
        <f>IF($U31=0,"",IF(Z31="-","-",IFERROR($S31*$T31*(VLOOKUP($M31,選択肢!$B$9:$S$19,16,FALSE)/VLOOKUP($M31,選択肢!$B$9:$S$19,3,FALSE)),"要計算")))</f>
        <v/>
      </c>
      <c r="AB31" s="152" t="str">
        <f>IF($U31=0,"",_xlfn.IFNA(VLOOKUP($M31,選択肢!$B$9:$I$19,7,),""))</f>
        <v/>
      </c>
      <c r="AC31" s="153" t="str">
        <f>IF($U31=0,"",IF(AB31="-","-",IFERROR($S31*$T31*(VLOOKUP($M31,選択肢!$B$9:$S$19,17,FALSE)/VLOOKUP($M31,選択肢!$B$9:$S$19,3,FALSE)),"要計算")))</f>
        <v/>
      </c>
      <c r="AD31" s="152" t="str">
        <f>IF($U31=0,"",_xlfn.IFNA(VLOOKUP($M31,選択肢!$B$9:$I$19,8,),""))</f>
        <v/>
      </c>
      <c r="AE31" s="154" t="str">
        <f>IF($U31=0,"",IF(AD31="-","-",IFERROR($S31*$T31*(VLOOKUP($M31,選択肢!$B$9:$S$19,18,FALSE)/VLOOKUP($M31,選択肢!$B$9:$S$19,3,FALSE)),"要計算")))</f>
        <v/>
      </c>
      <c r="AF31" s="143"/>
      <c r="AG31" s="140" t="str">
        <f t="shared" si="9"/>
        <v/>
      </c>
      <c r="AH31" s="136" t="str">
        <f>IF(N31="","",ROUND(AG31*VLOOKUP($D:$D,選択肢!$D:$F,3,),0))</f>
        <v/>
      </c>
      <c r="AI31" s="144" t="str">
        <f t="shared" si="12"/>
        <v/>
      </c>
      <c r="AJ31" s="144" t="str">
        <f>IFERROR(AG31*VLOOKUP($D:$D,選択肢!$D:$F,3,),"")</f>
        <v/>
      </c>
      <c r="AK31" s="140" t="str">
        <f t="shared" si="6"/>
        <v/>
      </c>
      <c r="AL31" s="136" t="str">
        <f>IF(N31="","",ROUND(AK31*VLOOKUP($D:$D,選択肢!$D:$F,3,),0))</f>
        <v/>
      </c>
      <c r="AM31" s="145" t="str">
        <f t="shared" si="10"/>
        <v/>
      </c>
      <c r="AN31" s="146" t="str">
        <f>IFERROR(AK31*VLOOKUP($D:$D,選択肢!$D:$F,3,),"")</f>
        <v/>
      </c>
      <c r="AO31" s="96" t="str">
        <f t="shared" si="11"/>
        <v/>
      </c>
    </row>
    <row r="32" spans="2:41" ht="34.5" customHeight="1">
      <c r="B32" s="110">
        <v>5</v>
      </c>
      <c r="C32" s="150" t="str">
        <f>IF(VLOOKUP($B32,別紙１!$C$47:$I$51,5,)&lt;&gt;0,VLOOKUP($B32,別紙１!$C$47:$I$51,5,),"")</f>
        <v/>
      </c>
      <c r="D32" s="129"/>
      <c r="E32" s="111" t="str">
        <f>CONCATENATE(D32,"_")</f>
        <v>_</v>
      </c>
      <c r="F32" s="147"/>
      <c r="G32" s="131" t="s">
        <v>89</v>
      </c>
      <c r="H32" s="148"/>
      <c r="I32" s="133"/>
      <c r="J32" s="147"/>
      <c r="K32" s="131" t="s">
        <v>89</v>
      </c>
      <c r="L32" s="148"/>
      <c r="M32" s="149"/>
      <c r="N32" s="135"/>
      <c r="O32" s="136" t="str">
        <f>IF(N32="","",ROUND(N32*VLOOKUP($D:$D,選択肢!$D:$F,3,),0))</f>
        <v/>
      </c>
      <c r="P32" s="137"/>
      <c r="Q32" s="138" t="str">
        <f t="shared" si="7"/>
        <v/>
      </c>
      <c r="R32" s="139" t="str">
        <f>IF(N32="","",Q32*VLOOKUP($D:$D,選択肢!$D:$F,3,))</f>
        <v/>
      </c>
      <c r="S32" s="140" t="str">
        <f t="shared" si="8"/>
        <v/>
      </c>
      <c r="T32" s="141" t="str">
        <f>IF(N32="","",VLOOKUP(D:D,選択肢!$D:$F,2,))</f>
        <v/>
      </c>
      <c r="U32" s="142">
        <f>IF(ISERROR(MATCH($M32,選択肢!$B$9:$B$19,0)),0,1)</f>
        <v>0</v>
      </c>
      <c r="V32" s="152" t="str">
        <f>IF($U32=0,"",_xlfn.IFNA(VLOOKUP($M32,選択肢!$B$9:$I$19,4,),""))</f>
        <v/>
      </c>
      <c r="W32" s="153" t="str">
        <f>IF($U32=0,"",IFERROR($S32*$T32*(VLOOKUP($M32,選択肢!$B$9:$S$19,14,FALSE)/VLOOKUP($M32,選択肢!$B$9:$S$19,3,FALSE)),""))</f>
        <v/>
      </c>
      <c r="X32" s="152" t="str">
        <f>IF($U32=0,"",_xlfn.IFNA(VLOOKUP($M32,選択肢!$B$9:$I$19,5,),""))</f>
        <v/>
      </c>
      <c r="Y32" s="153" t="str">
        <f>IF($U32=0,"",IFERROR($S32*$T32*(VLOOKUP($M32,選択肢!$B$9:$S$19,15,FALSE)/VLOOKUP($M32,選択肢!$B$9:$S$19,3,FALSE)),""))</f>
        <v/>
      </c>
      <c r="Z32" s="152" t="str">
        <f>IF($U32=0,"",_xlfn.IFNA(VLOOKUP($M32,選択肢!$B$9:$I$19,6,),""))</f>
        <v/>
      </c>
      <c r="AA32" s="153" t="str">
        <f>IF($U32=0,"",IF(Z32="-","-",IFERROR($S32*$T32*(VLOOKUP($M32,選択肢!$B$9:$S$19,16,FALSE)/VLOOKUP($M32,選択肢!$B$9:$S$19,3,FALSE)),"要計算")))</f>
        <v/>
      </c>
      <c r="AB32" s="152" t="str">
        <f>IF($U32=0,"",_xlfn.IFNA(VLOOKUP($M32,選択肢!$B$9:$I$19,7,),""))</f>
        <v/>
      </c>
      <c r="AC32" s="153" t="str">
        <f>IF($U32=0,"",IF(AB32="-","-",IFERROR($S32*$T32*(VLOOKUP($M32,選択肢!$B$9:$S$19,17,FALSE)/VLOOKUP($M32,選択肢!$B$9:$S$19,3,FALSE)),"要計算")))</f>
        <v/>
      </c>
      <c r="AD32" s="152" t="str">
        <f>IF($U32=0,"",_xlfn.IFNA(VLOOKUP($M32,選択肢!$B$9:$I$19,8,),""))</f>
        <v/>
      </c>
      <c r="AE32" s="154" t="str">
        <f>IF($U32=0,"",IF(AD32="-","-",IFERROR($S32*$T32*(VLOOKUP($M32,選択肢!$B$9:$S$19,18,FALSE)/VLOOKUP($M32,選択肢!$B$9:$S$19,3,FALSE)),"要計算")))</f>
        <v/>
      </c>
      <c r="AF32" s="143"/>
      <c r="AG32" s="140" t="str">
        <f t="shared" si="9"/>
        <v/>
      </c>
      <c r="AH32" s="136" t="str">
        <f>IF(N32="","",ROUND(AG32*VLOOKUP($D:$D,選択肢!$D:$F,3,),0))</f>
        <v/>
      </c>
      <c r="AI32" s="144" t="str">
        <f t="shared" si="12"/>
        <v/>
      </c>
      <c r="AJ32" s="144" t="str">
        <f>IFERROR(AG32*VLOOKUP($D:$D,選択肢!$D:$F,3,),"")</f>
        <v/>
      </c>
      <c r="AK32" s="140" t="str">
        <f t="shared" si="6"/>
        <v/>
      </c>
      <c r="AL32" s="136" t="str">
        <f>IF(N32="","",ROUND(AK32*VLOOKUP($D:$D,選択肢!$D:$F,3,),0))</f>
        <v/>
      </c>
      <c r="AM32" s="145" t="str">
        <f t="shared" si="10"/>
        <v/>
      </c>
      <c r="AN32" s="146" t="str">
        <f>IFERROR(AK32*VLOOKUP($D:$D,選択肢!$D:$F,3,),"")</f>
        <v/>
      </c>
      <c r="AO32" s="96" t="str">
        <f t="shared" si="11"/>
        <v/>
      </c>
    </row>
    <row r="33" spans="2:40" ht="6.6" customHeight="1">
      <c r="B33" s="36"/>
      <c r="C33" s="36"/>
      <c r="D33" s="36"/>
      <c r="E33" s="36"/>
      <c r="F33" s="36"/>
      <c r="G33" s="36"/>
      <c r="H33" s="36"/>
      <c r="I33" s="36"/>
      <c r="J33" s="36"/>
      <c r="K33" s="36"/>
      <c r="L33" s="36"/>
      <c r="M33" s="37"/>
      <c r="N33" s="36"/>
      <c r="O33" s="36"/>
      <c r="Q33" s="36"/>
      <c r="R33" s="71"/>
      <c r="S33" s="36"/>
      <c r="T33" s="36"/>
      <c r="U33" s="36"/>
      <c r="V33" s="36"/>
      <c r="W33" s="36"/>
      <c r="X33" s="36"/>
      <c r="Y33" s="36"/>
      <c r="Z33" s="36"/>
      <c r="AA33" s="36"/>
      <c r="AB33" s="36"/>
      <c r="AC33" s="36"/>
      <c r="AD33" s="36"/>
      <c r="AE33" s="38"/>
      <c r="AG33" s="37"/>
      <c r="AH33" s="37"/>
      <c r="AI33" s="71" t="s">
        <v>139</v>
      </c>
      <c r="AJ33" s="71"/>
      <c r="AK33" s="71"/>
      <c r="AL33" s="71"/>
      <c r="AM33"/>
      <c r="AN33" s="37"/>
    </row>
    <row r="34" spans="2:40" s="11" customFormat="1" ht="16.5">
      <c r="B34" s="198" t="s">
        <v>243</v>
      </c>
      <c r="C34" s="39"/>
      <c r="D34" s="40"/>
      <c r="E34" s="40"/>
      <c r="F34" s="40"/>
      <c r="G34" s="40"/>
      <c r="H34" s="40"/>
      <c r="I34" s="40"/>
      <c r="J34" s="40"/>
      <c r="K34" s="40"/>
      <c r="L34" s="40"/>
      <c r="M34" s="39"/>
      <c r="N34" s="40"/>
      <c r="O34" s="39"/>
      <c r="P34" s="39"/>
      <c r="Q34" s="39"/>
      <c r="R34" s="39"/>
      <c r="S34" s="40"/>
      <c r="T34" s="40"/>
      <c r="U34" s="40"/>
      <c r="V34" s="237"/>
      <c r="W34" s="237"/>
      <c r="X34" s="237"/>
      <c r="Y34" s="237"/>
      <c r="Z34" s="237"/>
      <c r="AA34" s="237"/>
      <c r="AB34" s="237"/>
      <c r="AC34" s="237"/>
      <c r="AD34" s="237"/>
      <c r="AE34" s="237"/>
      <c r="AF34" s="39"/>
      <c r="AG34" s="39"/>
      <c r="AH34" s="39"/>
      <c r="AI34" s="39"/>
      <c r="AJ34" s="39"/>
      <c r="AK34" s="39"/>
      <c r="AL34" s="39"/>
      <c r="AM34" s="39"/>
      <c r="AN34" s="39"/>
    </row>
    <row r="35" spans="2:40" ht="7.5" customHeight="1">
      <c r="B35" s="36"/>
      <c r="C35" s="36"/>
      <c r="D35" s="36"/>
      <c r="E35" s="36"/>
      <c r="F35" s="36"/>
      <c r="G35" s="36"/>
      <c r="H35" s="36"/>
      <c r="I35" s="36"/>
      <c r="J35" s="36"/>
      <c r="K35" s="36"/>
      <c r="L35" s="36"/>
      <c r="M35" s="37"/>
      <c r="N35" s="36"/>
      <c r="O35" s="36"/>
      <c r="P35" s="36"/>
      <c r="Q35" s="36"/>
      <c r="R35" s="37"/>
      <c r="S35" s="36"/>
      <c r="T35" s="36"/>
      <c r="U35" s="36"/>
      <c r="V35" s="36"/>
      <c r="W35" s="36"/>
      <c r="X35" s="36"/>
      <c r="Y35" s="36"/>
      <c r="Z35" s="36"/>
      <c r="AA35" s="36"/>
      <c r="AB35" s="36"/>
      <c r="AC35" s="36"/>
      <c r="AD35" s="36"/>
      <c r="AE35" s="36"/>
      <c r="AF35" s="36"/>
      <c r="AG35" s="37"/>
      <c r="AH35" s="37"/>
      <c r="AI35" s="37"/>
      <c r="AJ35" s="37"/>
      <c r="AK35" s="37"/>
      <c r="AL35" s="37"/>
      <c r="AM35" s="37"/>
      <c r="AN35" s="37"/>
    </row>
    <row r="36" spans="2:40" ht="21">
      <c r="B36" s="41" t="s">
        <v>96</v>
      </c>
      <c r="C36" s="42"/>
      <c r="D36" s="36"/>
      <c r="E36" s="36"/>
      <c r="F36" s="36"/>
      <c r="G36" s="36"/>
      <c r="H36" s="36"/>
      <c r="I36" s="36"/>
      <c r="J36" s="36"/>
      <c r="K36" s="36"/>
      <c r="L36" s="36"/>
      <c r="M36" s="37"/>
      <c r="N36" s="36"/>
      <c r="O36" s="36"/>
      <c r="P36" s="36"/>
      <c r="Q36" s="36"/>
      <c r="R36" s="37"/>
      <c r="S36" s="36"/>
      <c r="T36" s="36"/>
      <c r="U36" s="36"/>
      <c r="V36" s="36"/>
      <c r="W36" s="36"/>
      <c r="X36" s="36"/>
      <c r="Y36" s="36"/>
      <c r="Z36" s="36"/>
      <c r="AA36" s="36"/>
      <c r="AB36" s="36"/>
      <c r="AC36" s="36"/>
      <c r="AD36" s="36"/>
      <c r="AE36" s="36"/>
      <c r="AF36" s="36"/>
      <c r="AG36" s="37"/>
      <c r="AH36" s="37"/>
      <c r="AI36" s="37"/>
      <c r="AJ36" s="37"/>
      <c r="AK36" s="37"/>
      <c r="AL36" s="37"/>
      <c r="AM36" s="37"/>
      <c r="AN36" s="37"/>
    </row>
    <row r="37" spans="2:40" ht="21">
      <c r="B37" s="43"/>
      <c r="C37" s="44" t="s">
        <v>98</v>
      </c>
      <c r="D37" s="36"/>
      <c r="E37" s="36"/>
      <c r="F37" s="36"/>
      <c r="G37" s="36"/>
      <c r="H37" s="36"/>
      <c r="I37" s="36"/>
      <c r="J37" s="36"/>
      <c r="K37" s="36"/>
      <c r="L37" s="36"/>
      <c r="M37" s="37"/>
      <c r="N37" s="36"/>
      <c r="O37" s="36"/>
      <c r="P37" s="36"/>
      <c r="Q37" s="36"/>
      <c r="R37" s="37"/>
      <c r="S37" s="36"/>
      <c r="T37" s="36"/>
      <c r="U37" s="36"/>
      <c r="V37" s="36"/>
      <c r="W37" s="36"/>
      <c r="X37" s="36"/>
      <c r="Y37" s="36"/>
      <c r="Z37" s="36"/>
      <c r="AA37" s="36"/>
      <c r="AB37" s="36"/>
      <c r="AC37" s="36"/>
      <c r="AD37" s="36"/>
      <c r="AE37" s="36"/>
      <c r="AF37" s="36"/>
      <c r="AG37" s="37"/>
      <c r="AH37" s="37"/>
      <c r="AI37" s="37"/>
      <c r="AJ37" s="37"/>
      <c r="AK37" s="37"/>
      <c r="AL37" s="37"/>
      <c r="AM37" s="37"/>
      <c r="AN37" s="37"/>
    </row>
    <row r="38" spans="2:40" ht="21">
      <c r="B38" s="43"/>
      <c r="C38" s="44" t="s">
        <v>185</v>
      </c>
      <c r="D38" s="36"/>
      <c r="E38" s="36"/>
      <c r="F38" s="36"/>
      <c r="G38" s="36"/>
      <c r="H38" s="36"/>
      <c r="I38" s="36"/>
      <c r="J38" s="36"/>
      <c r="K38" s="36"/>
      <c r="L38" s="36"/>
      <c r="M38" s="37"/>
      <c r="N38" s="36"/>
      <c r="O38" s="36"/>
      <c r="P38" s="36"/>
      <c r="Q38" s="36"/>
      <c r="R38" s="37"/>
      <c r="S38" s="36"/>
      <c r="T38" s="36"/>
      <c r="U38" s="36"/>
      <c r="V38" s="36"/>
      <c r="W38" s="36"/>
      <c r="X38" s="36"/>
      <c r="Y38" s="36"/>
      <c r="Z38" s="36"/>
      <c r="AA38" s="36"/>
      <c r="AB38" s="36"/>
      <c r="AC38" s="36"/>
      <c r="AD38" s="36"/>
      <c r="AE38" s="36"/>
      <c r="AF38" s="36"/>
      <c r="AG38" s="37"/>
      <c r="AH38" s="37"/>
      <c r="AI38" s="37"/>
      <c r="AJ38" s="37"/>
      <c r="AK38" s="37"/>
      <c r="AL38" s="37"/>
      <c r="AM38" s="37"/>
      <c r="AN38" s="37"/>
    </row>
    <row r="39" spans="2:40" ht="21">
      <c r="B39" s="43"/>
      <c r="C39" s="44" t="s">
        <v>127</v>
      </c>
      <c r="D39" s="36"/>
      <c r="E39" s="36"/>
      <c r="F39" s="36"/>
      <c r="G39" s="36"/>
      <c r="H39" s="36"/>
      <c r="I39" s="36"/>
      <c r="J39" s="36"/>
      <c r="K39" s="36"/>
      <c r="L39" s="36"/>
      <c r="M39" s="37"/>
      <c r="N39" s="36"/>
      <c r="O39" s="36"/>
      <c r="P39" s="36"/>
      <c r="Q39" s="36"/>
      <c r="R39" s="37"/>
      <c r="S39" s="36"/>
      <c r="T39" s="36"/>
      <c r="U39" s="36"/>
      <c r="V39" s="36"/>
      <c r="W39" s="36"/>
      <c r="X39" s="36"/>
      <c r="Y39" s="36"/>
      <c r="Z39" s="36"/>
      <c r="AA39" s="36"/>
      <c r="AB39" s="36"/>
      <c r="AC39" s="36"/>
      <c r="AD39" s="36"/>
      <c r="AE39" s="36"/>
      <c r="AF39" s="36"/>
      <c r="AG39" s="37"/>
      <c r="AH39" s="37"/>
      <c r="AI39" s="37"/>
      <c r="AJ39" s="37"/>
      <c r="AK39" s="37"/>
      <c r="AL39" s="37"/>
      <c r="AM39" s="37"/>
      <c r="AN39" s="37"/>
    </row>
    <row r="40" spans="2:40" ht="21">
      <c r="B40" s="43"/>
      <c r="C40" s="44" t="s">
        <v>128</v>
      </c>
      <c r="D40" s="36"/>
      <c r="E40" s="36"/>
      <c r="F40" s="36"/>
      <c r="G40" s="36"/>
      <c r="H40" s="36"/>
      <c r="I40" s="36"/>
      <c r="J40" s="36"/>
      <c r="K40" s="36"/>
      <c r="L40" s="36"/>
      <c r="M40" s="37"/>
      <c r="N40" s="36"/>
      <c r="O40" s="36"/>
      <c r="P40" s="36"/>
      <c r="Q40" s="36"/>
      <c r="R40" s="37"/>
      <c r="S40" s="36"/>
      <c r="T40" s="36"/>
      <c r="U40" s="36"/>
      <c r="V40" s="36"/>
      <c r="W40" s="36"/>
      <c r="X40" s="36"/>
      <c r="Y40" s="36"/>
      <c r="Z40" s="36"/>
      <c r="AA40" s="36"/>
      <c r="AB40" s="36"/>
      <c r="AC40" s="36"/>
      <c r="AD40" s="36"/>
      <c r="AE40" s="36"/>
      <c r="AF40" s="36"/>
      <c r="AG40" s="37"/>
      <c r="AH40" s="37"/>
      <c r="AI40" s="37"/>
      <c r="AJ40" s="37"/>
      <c r="AK40" s="37"/>
      <c r="AL40" s="37"/>
      <c r="AM40" s="37"/>
      <c r="AN40" s="37"/>
    </row>
    <row r="41" spans="2:40" ht="21">
      <c r="B41" s="43"/>
      <c r="C41" s="44" t="s">
        <v>191</v>
      </c>
      <c r="D41" s="36"/>
      <c r="E41" s="36"/>
      <c r="F41" s="36"/>
      <c r="G41" s="36"/>
      <c r="H41" s="36"/>
      <c r="I41" s="36"/>
      <c r="J41" s="36"/>
      <c r="K41" s="36"/>
      <c r="L41" s="36"/>
      <c r="M41" s="37"/>
      <c r="N41" s="36"/>
      <c r="O41" s="36"/>
      <c r="P41" s="36"/>
      <c r="Q41" s="36"/>
      <c r="R41" s="37"/>
      <c r="S41" s="36"/>
      <c r="T41" s="36"/>
      <c r="U41" s="36"/>
      <c r="V41" s="36"/>
      <c r="W41" s="36"/>
      <c r="X41" s="36"/>
      <c r="Y41" s="36"/>
      <c r="Z41" s="36"/>
      <c r="AA41" s="36"/>
      <c r="AB41" s="36"/>
      <c r="AC41" s="36"/>
      <c r="AD41" s="36"/>
      <c r="AE41" s="36"/>
      <c r="AF41" s="36"/>
      <c r="AG41" s="37"/>
      <c r="AH41" s="37"/>
      <c r="AI41" s="37"/>
      <c r="AJ41" s="37"/>
      <c r="AK41" s="37"/>
      <c r="AL41" s="37"/>
      <c r="AM41" s="37"/>
      <c r="AN41" s="37"/>
    </row>
    <row r="42" spans="2:40">
      <c r="B42" s="36"/>
      <c r="C42" s="36"/>
      <c r="D42" s="36"/>
      <c r="E42" s="36"/>
      <c r="F42" s="36"/>
      <c r="G42" s="36"/>
      <c r="H42" s="36"/>
      <c r="I42" s="36"/>
      <c r="J42" s="36"/>
      <c r="K42" s="36"/>
      <c r="L42" s="36"/>
      <c r="M42" s="37"/>
      <c r="N42" s="36"/>
      <c r="O42" s="36"/>
      <c r="P42" s="36"/>
      <c r="Q42" s="36"/>
      <c r="R42" s="37"/>
      <c r="S42" s="36"/>
      <c r="T42" s="36"/>
      <c r="U42" s="36"/>
      <c r="V42" s="36"/>
      <c r="W42" s="36"/>
      <c r="X42" s="36"/>
      <c r="Y42" s="36"/>
      <c r="Z42" s="36"/>
      <c r="AA42" s="36"/>
      <c r="AB42" s="36"/>
      <c r="AC42" s="36"/>
      <c r="AD42" s="36"/>
      <c r="AE42" s="36"/>
      <c r="AF42" s="36"/>
      <c r="AG42" s="37"/>
      <c r="AH42" s="37"/>
      <c r="AI42" s="37"/>
      <c r="AJ42" s="37"/>
      <c r="AK42" s="37"/>
      <c r="AL42" s="37"/>
      <c r="AM42" s="37"/>
      <c r="AN42" s="37"/>
    </row>
  </sheetData>
  <sheetProtection sheet="1" objects="1" scenarios="1" formatCells="0" insertRows="0" deleteRows="0"/>
  <mergeCells count="27">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 ref="I23:I25"/>
    <mergeCell ref="M23:M25"/>
    <mergeCell ref="P24:Q24"/>
    <mergeCell ref="AI24:AJ24"/>
    <mergeCell ref="AM24:AN24"/>
    <mergeCell ref="N23:AN23"/>
    <mergeCell ref="AG22:AN22"/>
    <mergeCell ref="U24:U25"/>
    <mergeCell ref="AK24:AL24"/>
    <mergeCell ref="AG24:AH24"/>
    <mergeCell ref="AF24:AF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count="5">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allowBlank="1" showInputMessage="1" showErrorMessage="1" promptTitle="日付" prompt="yyyy/mm/dd 形式で入力" sqref="F28 H28 J28 L28" xr:uid="{3F03E48C-EAC6-4AE4-BB3A-2F0809716CCA}"/>
    <dataValidation type="list" allowBlank="1" showInputMessage="1" promptTitle="リスト" prompt="選択してください" sqref="M28" xr:uid="{E419C069-D13D-45C8-91DA-82DD9E94038A}">
      <formula1>INDIRECT($E28)</formula1>
    </dataValidation>
  </dataValidations>
  <pageMargins left="0.7" right="0.7" top="0.75" bottom="0.75" header="0.3" footer="0.3"/>
  <pageSetup paperSize="8"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S25" sqref="S25"/>
    </sheetView>
  </sheetViews>
  <sheetFormatPr defaultColWidth="8.75" defaultRowHeight="15.75"/>
  <cols>
    <col min="1" max="1" width="5.75" style="96" customWidth="1"/>
    <col min="2" max="2" width="18.875" style="96" customWidth="1"/>
    <col min="3" max="3" width="12.375" style="96" customWidth="1"/>
    <col min="4" max="4" width="31.625" style="96" customWidth="1"/>
    <col min="5" max="5" width="11.75" style="96" customWidth="1"/>
    <col min="6" max="6" width="16.25" style="96" customWidth="1"/>
    <col min="7" max="7" width="14.625" style="96" customWidth="1"/>
    <col min="8" max="8" width="14.25" style="96" customWidth="1"/>
    <col min="9" max="9" width="8.75" style="96"/>
    <col min="10" max="10" width="12.375" style="96" customWidth="1"/>
    <col min="11" max="13" width="12.125" style="96" hidden="1" customWidth="1"/>
    <col min="14" max="16" width="11.625" style="96" hidden="1" customWidth="1"/>
    <col min="17" max="17" width="6.5" style="96" hidden="1" customWidth="1"/>
    <col min="18" max="19" width="12.625" style="96" customWidth="1"/>
    <col min="20" max="21" width="12.25" style="96" customWidth="1"/>
    <col min="22" max="23" width="12.25" style="96" hidden="1" customWidth="1"/>
    <col min="24" max="16384" width="8.75" style="96"/>
  </cols>
  <sheetData>
    <row r="1" spans="2:23">
      <c r="B1" s="179" t="s">
        <v>166</v>
      </c>
      <c r="C1" s="179"/>
    </row>
    <row r="2" spans="2:23">
      <c r="B2" s="180"/>
      <c r="C2" s="180"/>
    </row>
    <row r="3" spans="2:23" ht="21">
      <c r="B3" s="181" t="s">
        <v>167</v>
      </c>
      <c r="C3" s="181"/>
    </row>
    <row r="4" spans="2:23">
      <c r="K4" s="182" t="s">
        <v>140</v>
      </c>
      <c r="L4" s="183"/>
      <c r="M4" s="183"/>
      <c r="N4" s="183"/>
      <c r="O4" s="183"/>
      <c r="P4" s="183"/>
      <c r="Q4" s="184"/>
      <c r="R4" s="197" t="s">
        <v>218</v>
      </c>
      <c r="S4" s="185"/>
      <c r="T4" s="185"/>
      <c r="U4" s="186"/>
      <c r="V4" s="185"/>
      <c r="W4" s="186"/>
    </row>
    <row r="5" spans="2:23">
      <c r="B5" s="248" t="s">
        <v>111</v>
      </c>
      <c r="C5" s="246" t="s">
        <v>112</v>
      </c>
      <c r="D5" s="248" t="s">
        <v>113</v>
      </c>
      <c r="E5" s="248" t="s">
        <v>114</v>
      </c>
      <c r="F5" s="246" t="s">
        <v>115</v>
      </c>
      <c r="G5" s="246" t="s">
        <v>116</v>
      </c>
      <c r="H5" s="246" t="s">
        <v>117</v>
      </c>
      <c r="I5" s="246" t="s">
        <v>119</v>
      </c>
      <c r="J5" s="246" t="s">
        <v>108</v>
      </c>
      <c r="K5" s="187" t="s">
        <v>109</v>
      </c>
      <c r="L5" s="188"/>
      <c r="M5" s="189" t="s">
        <v>110</v>
      </c>
      <c r="N5" s="190"/>
      <c r="O5" s="187" t="s">
        <v>214</v>
      </c>
      <c r="P5" s="191"/>
      <c r="R5" s="187" t="s">
        <v>223</v>
      </c>
      <c r="S5" s="188"/>
      <c r="T5" s="189" t="s">
        <v>224</v>
      </c>
      <c r="U5" s="188"/>
      <c r="V5" s="187" t="s">
        <v>225</v>
      </c>
      <c r="W5" s="190"/>
    </row>
    <row r="6" spans="2:23">
      <c r="B6" s="248"/>
      <c r="C6" s="246"/>
      <c r="D6" s="248"/>
      <c r="E6" s="248"/>
      <c r="F6" s="246"/>
      <c r="G6" s="246"/>
      <c r="H6" s="246"/>
      <c r="I6" s="246"/>
      <c r="J6" s="246"/>
      <c r="K6" s="192" t="s">
        <v>118</v>
      </c>
      <c r="L6" s="192" t="s">
        <v>222</v>
      </c>
      <c r="M6" s="192" t="s">
        <v>118</v>
      </c>
      <c r="N6" s="192" t="s">
        <v>222</v>
      </c>
      <c r="O6" s="192" t="s">
        <v>118</v>
      </c>
      <c r="P6" s="192" t="s">
        <v>222</v>
      </c>
      <c r="R6" s="192" t="s">
        <v>236</v>
      </c>
      <c r="S6" s="192" t="s">
        <v>222</v>
      </c>
      <c r="T6" s="192" t="s">
        <v>236</v>
      </c>
      <c r="U6" s="192" t="s">
        <v>222</v>
      </c>
      <c r="V6" s="192" t="s">
        <v>118</v>
      </c>
      <c r="W6" s="192" t="s">
        <v>222</v>
      </c>
    </row>
    <row r="7" spans="2:23">
      <c r="B7" s="247" t="str">
        <f>別紙１!$J$20</f>
        <v>経産化学株式会社</v>
      </c>
      <c r="C7" s="247" t="str">
        <f>別紙１!$J$23</f>
        <v>111-1111</v>
      </c>
      <c r="D7" s="247" t="str">
        <f>別紙１!$J$24</f>
        <v>東京都千代田区霞が関１丁目３－１</v>
      </c>
      <c r="E7" s="247" t="str">
        <f>別紙１!$J$22</f>
        <v>経産　太郎</v>
      </c>
      <c r="F7" s="247" t="str">
        <f>別紙１!$J$21</f>
        <v>代表取締役社長</v>
      </c>
      <c r="G7" s="247" t="str">
        <f>別紙１!$J$30</f>
        <v>03-1234-5678</v>
      </c>
      <c r="H7" s="247" t="str">
        <f>別紙１!$J$29</f>
        <v>産業　二郎</v>
      </c>
      <c r="I7" s="110" t="str">
        <f>_xlfn.IFNA(VLOOKUP(Q7,別紙２!$D$28:$D$32,1,0),"")</f>
        <v/>
      </c>
      <c r="J7" s="195" t="str">
        <f>IF($I7="","",SUMIF(別紙２!$D$28:$D$32,$I7,別紙２!$N$28:$N$32))</f>
        <v/>
      </c>
      <c r="K7" s="193">
        <f>_xlfn.IFNA(SUMIF(別紙２!$D$28:$D$32,$I7,別紙２!$AM$28:$AM$32),"")</f>
        <v>0</v>
      </c>
      <c r="L7" s="194">
        <f>_xlfn.IFNA(SUMIF(別紙２!$D$28:$D$32,$I7,別紙２!$AN$28:$AN$32),"")</f>
        <v>0</v>
      </c>
      <c r="M7" s="193">
        <f>_xlfn.IFNA(SUMIF(別紙２!$D$28:$D$32,$I7,別紙２!$AI$28:$AI$32),"")</f>
        <v>0</v>
      </c>
      <c r="N7" s="194">
        <f>_xlfn.IFNA(SUMIF(別紙２!$D$28:$D$32,$I7,別紙２!$AJ$28:$AJ$32),"")</f>
        <v>0</v>
      </c>
      <c r="O7" s="193">
        <f>_xlfn.IFNA(SUMIF(別紙２!$D$28:$D$32,$I7,別紙２!$Q$28:$Q$32),"")</f>
        <v>0</v>
      </c>
      <c r="P7" s="193">
        <f>_xlfn.IFNA(SUMIF(別紙２!$D$28:$D$32,$I7,別紙２!$R$28:$R$32),"")</f>
        <v>0</v>
      </c>
      <c r="Q7" s="96" t="s">
        <v>46</v>
      </c>
      <c r="R7" s="195" t="str">
        <f>IF($I7="","",SUMIF(別紙２!$D$28:$D$32,$I7,別紙２!$AK$28:$AK$32))</f>
        <v/>
      </c>
      <c r="S7" s="196" t="str">
        <f>IF($I7="","",SUMIF(別紙２!$D$28:$D$32,$I7,別紙２!$AL$28:$AL$32))</f>
        <v/>
      </c>
      <c r="T7" s="195" t="str">
        <f>IF($I7="","",SUMIF(別紙２!$D$28:$D$32,$I7,別紙２!$AG$28:$AG$32))</f>
        <v/>
      </c>
      <c r="U7" s="196" t="str">
        <f>IF($I7="","",(SUMIF(別紙２!$D$28:$D$32,$I7,別紙２!$AH$28:$AH$32)))</f>
        <v/>
      </c>
      <c r="V7" s="195">
        <f>_xlfn.IFNA(SUMIF(別紙２!$D$28:$D$32,$I7,別紙２!$Q$28:$Q$32),"")</f>
        <v>0</v>
      </c>
      <c r="W7" s="195">
        <f>_xlfn.IFNA(SUMIF(別紙２!$D$28:$D$32,$I7,別紙２!$R$28:$R$32),"")</f>
        <v>0</v>
      </c>
    </row>
    <row r="8" spans="2:23">
      <c r="B8" s="247"/>
      <c r="C8" s="247"/>
      <c r="D8" s="247"/>
      <c r="E8" s="247"/>
      <c r="F8" s="247"/>
      <c r="G8" s="247"/>
      <c r="H8" s="247"/>
      <c r="I8" s="110" t="str">
        <f>_xlfn.IFNA(VLOOKUP(Q8,別紙２!$D$28:$D$32,1,0),"")</f>
        <v/>
      </c>
      <c r="J8" s="195" t="str">
        <f>IF($I8="","",SUMIF(別紙２!$D$28:$D$32,$I8,別紙２!$N$28:$N$32))</f>
        <v/>
      </c>
      <c r="K8" s="193">
        <f>_xlfn.IFNA(SUMIF(別紙２!$D$28:$D$32,$I8,別紙２!$AM$28:$AM$32),"")</f>
        <v>0</v>
      </c>
      <c r="L8" s="194">
        <f>_xlfn.IFNA(SUMIF(別紙２!$D$28:$D$32,$I8,別紙２!$AN$28:$AN$32),"")</f>
        <v>0</v>
      </c>
      <c r="M8" s="193">
        <f>_xlfn.IFNA(SUMIF(別紙２!$D$28:$D$32,$I8,別紙２!$AI$28:$AI$32),"")</f>
        <v>0</v>
      </c>
      <c r="N8" s="194">
        <f>_xlfn.IFNA(SUMIF(別紙２!$D$28:$D$32,$I8,別紙２!$AJ$28:$AJ$32),"")</f>
        <v>0</v>
      </c>
      <c r="O8" s="193">
        <f>_xlfn.IFNA(SUMIF(別紙２!$D$28:$D$32,$I8,別紙２!$Q$28:$Q$32),"")</f>
        <v>0</v>
      </c>
      <c r="P8" s="193">
        <f>_xlfn.IFNA(SUMIF(別紙２!$D$28:$D$32,$I8,別紙２!$R$28:$R$32),"")</f>
        <v>0</v>
      </c>
      <c r="Q8" s="96" t="s">
        <v>244</v>
      </c>
      <c r="R8" s="195" t="str">
        <f>IF($I8="","",SUMIF(別紙２!$D$28:$D$32,$I8,別紙２!$AK$28:$AK$32))</f>
        <v/>
      </c>
      <c r="S8" s="196" t="str">
        <f>IF($I8="","",SUMIF(別紙２!$D$28:$D$32,$I8,別紙２!$AL$28:$AL$32))</f>
        <v/>
      </c>
      <c r="T8" s="195" t="str">
        <f>IF($I8="","",SUMIF(別紙２!$D$28:$D$32,$I8,別紙２!$AG$28:$AG$32))</f>
        <v/>
      </c>
      <c r="U8" s="196" t="str">
        <f>IF($I8="","",(SUMIF(別紙２!$D$28:$D$32,$I8,別紙２!$AH$28:$AH$32)))</f>
        <v/>
      </c>
      <c r="V8" s="195">
        <f>_xlfn.IFNA(SUMIF(別紙２!$D$28:$D$32,$I8,別紙２!$Q$28:$Q$32),"")</f>
        <v>0</v>
      </c>
      <c r="W8" s="195">
        <f>_xlfn.IFNA(SUMIF(別紙２!$D$28:$D$32,$I8,別紙２!$R$28:$R$32),"")</f>
        <v>0</v>
      </c>
    </row>
    <row r="9" spans="2:23">
      <c r="B9" s="247"/>
      <c r="C9" s="247"/>
      <c r="D9" s="247"/>
      <c r="E9" s="247"/>
      <c r="F9" s="247"/>
      <c r="G9" s="247"/>
      <c r="H9" s="247"/>
      <c r="I9" s="110" t="str">
        <f>_xlfn.IFNA(VLOOKUP(Q9,別紙２!$D$28:$D$32,1,0),"")</f>
        <v/>
      </c>
      <c r="J9" s="195" t="str">
        <f>IF($I9="","",SUMIF(別紙２!$D$28:$D$32,$I9,別紙２!$N$28:$N$32))</f>
        <v/>
      </c>
      <c r="K9" s="193">
        <f>_xlfn.IFNA(SUMIF(別紙２!$D$28:$D$32,$I9,別紙２!$AM$28:$AM$32),"")</f>
        <v>0</v>
      </c>
      <c r="L9" s="194">
        <f>_xlfn.IFNA(SUMIF(別紙２!$D$28:$D$32,$I9,別紙２!$AN$28:$AN$32),"")</f>
        <v>0</v>
      </c>
      <c r="M9" s="193">
        <f>_xlfn.IFNA(SUMIF(別紙２!$D$28:$D$32,$I9,別紙２!$AI$28:$AI$32),"")</f>
        <v>0</v>
      </c>
      <c r="N9" s="194">
        <f>_xlfn.IFNA(SUMIF(別紙２!$D$28:$D$32,$I9,別紙２!$AJ$28:$AJ$32),"")</f>
        <v>0</v>
      </c>
      <c r="O9" s="193">
        <f>_xlfn.IFNA(SUMIF(別紙２!$D$28:$D$32,$I9,別紙２!$Q$28:$Q$32),"")</f>
        <v>0</v>
      </c>
      <c r="P9" s="193">
        <f>_xlfn.IFNA(SUMIF(別紙２!$D$28:$D$32,$I9,別紙２!$R$28:$R$32),"")</f>
        <v>0</v>
      </c>
      <c r="Q9" s="96" t="s">
        <v>245</v>
      </c>
      <c r="R9" s="195" t="str">
        <f>IF($I9="","",SUMIF(別紙２!$D$28:$D$32,$I9,別紙２!$AK$28:$AK$32))</f>
        <v/>
      </c>
      <c r="S9" s="196" t="str">
        <f>IF($I9="","",SUMIF(別紙２!$D$28:$D$32,$I9,別紙２!$AL$28:$AL$32))</f>
        <v/>
      </c>
      <c r="T9" s="195" t="str">
        <f>IF($I9="","",SUMIF(別紙２!$D$28:$D$32,$I9,別紙２!$AG$28:$AG$32))</f>
        <v/>
      </c>
      <c r="U9" s="196" t="str">
        <f>IF($I9="","",(SUMIF(別紙２!$D$28:$D$32,$I9,別紙２!$AH$28:$AH$32)))</f>
        <v/>
      </c>
      <c r="V9" s="195">
        <f>_xlfn.IFNA(SUMIF(別紙２!$D$28:$D$32,$I9,別紙２!$Q$28:$Q$32),"")</f>
        <v>0</v>
      </c>
      <c r="W9" s="195">
        <f>_xlfn.IFNA(SUMIF(別紙２!$D$28:$D$32,$I9,別紙２!$R$28:$R$32),"")</f>
        <v>0</v>
      </c>
    </row>
    <row r="11" spans="2:23">
      <c r="B11" s="96" t="s">
        <v>186</v>
      </c>
    </row>
  </sheetData>
  <sheetProtection algorithmName="SHA-512" hashValue="iK5Qe2E26qWUtHRLT95piSemTBysjwz2bH+vQcvITfY34qF4aNGveK0g/ljrIj63GM7Em+rv7ODv2OoFYSoF+A==" saltValue="bBwllm0iU6PXryyu7+uu8Q=="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workbookViewId="0">
      <selection activeCell="P25" sqref="P25"/>
    </sheetView>
  </sheetViews>
  <sheetFormatPr defaultColWidth="8.875" defaultRowHeight="13.5"/>
  <sheetData>
    <row r="2" spans="1:10">
      <c r="A2" s="75" t="s">
        <v>177</v>
      </c>
    </row>
    <row r="3" spans="1:10">
      <c r="A3" s="75"/>
    </row>
    <row r="4" spans="1:10">
      <c r="A4" t="s">
        <v>178</v>
      </c>
    </row>
    <row r="9" spans="1:10">
      <c r="J9" t="s">
        <v>179</v>
      </c>
    </row>
    <row r="16" spans="1:10">
      <c r="B16" s="249"/>
      <c r="C16" s="249"/>
      <c r="D16" s="249"/>
    </row>
    <row r="20" spans="1:1">
      <c r="A20" s="76" t="s">
        <v>180</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A3" sqref="A3"/>
    </sheetView>
  </sheetViews>
  <sheetFormatPr defaultColWidth="8.75" defaultRowHeight="15.75"/>
  <cols>
    <col min="1" max="1" width="13.625" style="96" customWidth="1"/>
    <col min="2" max="2" width="57.375" style="96" customWidth="1"/>
    <col min="3" max="3" width="8.375" style="96" customWidth="1"/>
    <col min="4" max="4" width="10" style="96" customWidth="1"/>
    <col min="5" max="6" width="11.25" style="96" customWidth="1"/>
    <col min="7" max="7" width="6.625" style="96" customWidth="1"/>
    <col min="8" max="8" width="7.375" style="96" customWidth="1"/>
    <col min="9" max="9" width="8.75" style="96"/>
    <col min="10" max="14" width="9" style="96" customWidth="1"/>
    <col min="15" max="16384" width="8.75" style="96"/>
  </cols>
  <sheetData>
    <row r="1" spans="1:19" s="98" customFormat="1" ht="47.25">
      <c r="A1" s="164" t="s">
        <v>27</v>
      </c>
      <c r="B1" s="164" t="s">
        <v>238</v>
      </c>
      <c r="D1" s="164" t="s">
        <v>62</v>
      </c>
      <c r="E1" s="164" t="s">
        <v>239</v>
      </c>
      <c r="F1" s="164" t="s">
        <v>18</v>
      </c>
    </row>
    <row r="2" spans="1:19">
      <c r="A2" s="110"/>
      <c r="B2" s="110"/>
      <c r="D2" s="165" t="s">
        <v>44</v>
      </c>
      <c r="E2" s="110">
        <f>1-0.06</f>
        <v>0.94</v>
      </c>
      <c r="F2" s="110">
        <v>675</v>
      </c>
    </row>
    <row r="3" spans="1:19">
      <c r="A3" s="166">
        <v>0.1</v>
      </c>
      <c r="B3" s="166">
        <v>0.9</v>
      </c>
      <c r="D3" s="165" t="s">
        <v>45</v>
      </c>
      <c r="E3" s="110">
        <f>1-0.4</f>
        <v>0.6</v>
      </c>
      <c r="F3" s="110">
        <v>92</v>
      </c>
    </row>
    <row r="4" spans="1:19">
      <c r="A4" s="166" t="s">
        <v>215</v>
      </c>
      <c r="B4" s="166" t="s">
        <v>142</v>
      </c>
      <c r="D4" s="165" t="s">
        <v>46</v>
      </c>
      <c r="E4" s="110">
        <f>1-0.4</f>
        <v>0.6</v>
      </c>
      <c r="F4" s="110">
        <v>14800</v>
      </c>
    </row>
    <row r="5" spans="1:19">
      <c r="A5" s="110"/>
      <c r="B5" s="166"/>
      <c r="D5" s="165"/>
      <c r="E5" s="110"/>
      <c r="F5" s="110"/>
    </row>
    <row r="7" spans="1:19">
      <c r="A7" s="96" t="s">
        <v>38</v>
      </c>
      <c r="D7" s="96">
        <v>3</v>
      </c>
      <c r="E7" s="96">
        <v>4</v>
      </c>
      <c r="F7" s="96">
        <v>5</v>
      </c>
      <c r="G7" s="96">
        <v>6</v>
      </c>
      <c r="H7" s="96">
        <v>7</v>
      </c>
      <c r="I7" s="96">
        <v>8</v>
      </c>
      <c r="J7" s="96">
        <v>9</v>
      </c>
      <c r="K7" s="96">
        <v>10</v>
      </c>
      <c r="L7" s="96">
        <v>11</v>
      </c>
      <c r="M7" s="96">
        <v>12</v>
      </c>
      <c r="N7" s="96">
        <v>13</v>
      </c>
      <c r="O7" s="96">
        <v>14</v>
      </c>
      <c r="P7" s="96">
        <v>15</v>
      </c>
      <c r="Q7" s="96">
        <v>16</v>
      </c>
      <c r="R7" s="96">
        <v>17</v>
      </c>
      <c r="S7" s="96">
        <v>18</v>
      </c>
    </row>
    <row r="8" spans="1:19" ht="31.5">
      <c r="A8" s="167" t="s">
        <v>41</v>
      </c>
      <c r="B8" s="167" t="s">
        <v>42</v>
      </c>
      <c r="C8" s="164" t="s">
        <v>137</v>
      </c>
      <c r="D8" s="164" t="s">
        <v>138</v>
      </c>
      <c r="E8" s="250" t="s">
        <v>55</v>
      </c>
      <c r="F8" s="251"/>
      <c r="G8" s="251"/>
      <c r="H8" s="251"/>
      <c r="I8" s="252"/>
      <c r="J8" s="250" t="s">
        <v>58</v>
      </c>
      <c r="K8" s="251"/>
      <c r="L8" s="251"/>
      <c r="M8" s="251"/>
      <c r="N8" s="252"/>
      <c r="O8" s="250" t="s">
        <v>61</v>
      </c>
      <c r="P8" s="251"/>
      <c r="Q8" s="251"/>
      <c r="R8" s="251"/>
      <c r="S8" s="252"/>
    </row>
    <row r="9" spans="1:19" ht="17.25">
      <c r="A9" s="165" t="s">
        <v>144</v>
      </c>
      <c r="B9" s="168" t="s">
        <v>227</v>
      </c>
      <c r="C9" s="110">
        <v>2</v>
      </c>
      <c r="D9" s="110">
        <f>70*C9</f>
        <v>140</v>
      </c>
      <c r="E9" s="169" t="s">
        <v>220</v>
      </c>
      <c r="F9" s="169" t="s">
        <v>229</v>
      </c>
      <c r="G9" s="170" t="s">
        <v>147</v>
      </c>
      <c r="H9" s="170" t="s">
        <v>148</v>
      </c>
      <c r="I9" s="171" t="s">
        <v>148</v>
      </c>
      <c r="J9" s="169">
        <v>2</v>
      </c>
      <c r="K9" s="170">
        <v>1</v>
      </c>
      <c r="L9" s="170">
        <v>2</v>
      </c>
      <c r="M9" s="170">
        <v>0</v>
      </c>
      <c r="N9" s="171">
        <v>0</v>
      </c>
      <c r="O9" s="169">
        <f t="shared" ref="O9:S9" si="0">IFERROR(VLOOKUP(E9,$A$22:$B$36,2,FALSE)*J9,"")</f>
        <v>88</v>
      </c>
      <c r="P9" s="170">
        <f t="shared" si="0"/>
        <v>104</v>
      </c>
      <c r="Q9" s="170">
        <f t="shared" si="0"/>
        <v>40</v>
      </c>
      <c r="R9" s="170" t="str">
        <f t="shared" si="0"/>
        <v/>
      </c>
      <c r="S9" s="171" t="str">
        <f t="shared" si="0"/>
        <v/>
      </c>
    </row>
    <row r="10" spans="1:19" ht="17.25">
      <c r="A10" s="165" t="s">
        <v>144</v>
      </c>
      <c r="B10" s="172" t="s">
        <v>228</v>
      </c>
      <c r="C10" s="173">
        <v>6</v>
      </c>
      <c r="D10" s="173">
        <v>420</v>
      </c>
      <c r="E10" s="174" t="s">
        <v>220</v>
      </c>
      <c r="F10" s="174" t="s">
        <v>229</v>
      </c>
      <c r="G10" s="175" t="s">
        <v>201</v>
      </c>
      <c r="H10" s="175" t="s">
        <v>232</v>
      </c>
      <c r="I10" s="176" t="s">
        <v>148</v>
      </c>
      <c r="J10" s="174">
        <v>6</v>
      </c>
      <c r="K10" s="175">
        <v>3</v>
      </c>
      <c r="L10" s="175">
        <v>6</v>
      </c>
      <c r="M10" s="175">
        <v>2</v>
      </c>
      <c r="N10" s="176">
        <v>0</v>
      </c>
      <c r="O10" s="174">
        <v>264</v>
      </c>
      <c r="P10" s="175">
        <v>312</v>
      </c>
      <c r="Q10" s="175">
        <v>120</v>
      </c>
      <c r="R10" s="175">
        <v>56</v>
      </c>
      <c r="S10" s="176" t="s">
        <v>202</v>
      </c>
    </row>
    <row r="11" spans="1:19" ht="17.25">
      <c r="A11" s="165" t="s">
        <v>146</v>
      </c>
      <c r="B11" s="168" t="s">
        <v>235</v>
      </c>
      <c r="C11" s="110">
        <v>6</v>
      </c>
      <c r="D11" s="110">
        <f>52*C11</f>
        <v>312</v>
      </c>
      <c r="E11" s="169" t="s">
        <v>229</v>
      </c>
      <c r="F11" s="170" t="s">
        <v>150</v>
      </c>
      <c r="G11" s="170" t="s">
        <v>230</v>
      </c>
      <c r="H11" s="170" t="s">
        <v>57</v>
      </c>
      <c r="I11" s="170" t="s">
        <v>231</v>
      </c>
      <c r="J11" s="169">
        <v>3</v>
      </c>
      <c r="K11" s="170">
        <v>2</v>
      </c>
      <c r="L11" s="170">
        <v>2</v>
      </c>
      <c r="M11" s="170">
        <v>4</v>
      </c>
      <c r="N11" s="171">
        <v>2</v>
      </c>
      <c r="O11" s="169">
        <f>IFERROR(VLOOKUP(E11,$A$22:$B$36,2,FALSE)*J11,"")</f>
        <v>312</v>
      </c>
      <c r="P11" s="170">
        <f>IFERROR(VLOOKUP(F11,$A$22:$B$36,2,FALSE)*K11,"")</f>
        <v>54</v>
      </c>
      <c r="Q11" s="170">
        <f>IFERROR(VLOOKUP(G11,$A$22:$B$36,2,FALSE)*L11,"")</f>
        <v>34</v>
      </c>
      <c r="R11" s="170">
        <f t="shared" ref="R11:S11" si="1">IFERROR(VLOOKUP(H11,$A$22:$B$36,2,FALSE)*M11,"")</f>
        <v>112</v>
      </c>
      <c r="S11" s="171">
        <f t="shared" si="1"/>
        <v>36</v>
      </c>
    </row>
    <row r="12" spans="1:19" ht="17.25">
      <c r="A12" s="165" t="s">
        <v>146</v>
      </c>
      <c r="B12" s="173" t="s">
        <v>234</v>
      </c>
      <c r="C12" s="173">
        <v>2</v>
      </c>
      <c r="D12" s="173">
        <v>104</v>
      </c>
      <c r="E12" s="174" t="s">
        <v>229</v>
      </c>
      <c r="F12" s="174" t="s">
        <v>220</v>
      </c>
      <c r="G12" s="175" t="s">
        <v>231</v>
      </c>
      <c r="H12" s="175" t="s">
        <v>148</v>
      </c>
      <c r="I12" s="176" t="s">
        <v>148</v>
      </c>
      <c r="J12" s="174">
        <v>1</v>
      </c>
      <c r="K12" s="175">
        <v>2</v>
      </c>
      <c r="L12" s="175">
        <v>2</v>
      </c>
      <c r="M12" s="175">
        <v>0</v>
      </c>
      <c r="N12" s="176">
        <v>0</v>
      </c>
      <c r="O12" s="174">
        <v>104</v>
      </c>
      <c r="P12" s="175">
        <v>88</v>
      </c>
      <c r="Q12" s="175">
        <v>36</v>
      </c>
      <c r="R12" s="175" t="s">
        <v>202</v>
      </c>
      <c r="S12" s="176" t="s">
        <v>202</v>
      </c>
    </row>
    <row r="13" spans="1:19" ht="17.25">
      <c r="A13" s="165" t="s">
        <v>145</v>
      </c>
      <c r="B13" s="168" t="s">
        <v>233</v>
      </c>
      <c r="C13" s="110">
        <v>4</v>
      </c>
      <c r="D13" s="110">
        <f>34*C13</f>
        <v>136</v>
      </c>
      <c r="E13" s="169" t="s">
        <v>220</v>
      </c>
      <c r="F13" s="169" t="s">
        <v>229</v>
      </c>
      <c r="G13" s="170" t="s">
        <v>231</v>
      </c>
      <c r="H13" s="170" t="s">
        <v>148</v>
      </c>
      <c r="I13" s="171" t="s">
        <v>148</v>
      </c>
      <c r="J13" s="169">
        <v>4</v>
      </c>
      <c r="K13" s="170">
        <v>1</v>
      </c>
      <c r="L13" s="170">
        <v>6</v>
      </c>
      <c r="M13" s="170">
        <v>0</v>
      </c>
      <c r="N13" s="171">
        <v>0</v>
      </c>
      <c r="O13" s="169">
        <f t="shared" ref="O13:S13" si="2">IFERROR(VLOOKUP(E13,$A$22:$B$36,2,FALSE)*J13,"")</f>
        <v>176</v>
      </c>
      <c r="P13" s="170">
        <f t="shared" si="2"/>
        <v>104</v>
      </c>
      <c r="Q13" s="170">
        <f t="shared" si="2"/>
        <v>108</v>
      </c>
      <c r="R13" s="170" t="str">
        <f t="shared" si="2"/>
        <v/>
      </c>
      <c r="S13" s="171" t="str">
        <f t="shared" si="2"/>
        <v/>
      </c>
    </row>
    <row r="14" spans="1:19">
      <c r="A14" s="165" t="s">
        <v>145</v>
      </c>
      <c r="B14" s="166"/>
      <c r="C14" s="110"/>
      <c r="D14" s="110"/>
      <c r="E14" s="169"/>
      <c r="F14" s="170"/>
      <c r="G14" s="170"/>
      <c r="H14" s="170"/>
      <c r="I14" s="171"/>
      <c r="J14" s="169"/>
      <c r="K14" s="170"/>
      <c r="L14" s="170"/>
      <c r="M14" s="170"/>
      <c r="N14" s="171"/>
      <c r="O14" s="169"/>
      <c r="P14" s="170"/>
      <c r="Q14" s="170"/>
      <c r="R14" s="170"/>
      <c r="S14" s="171"/>
    </row>
    <row r="15" spans="1:19">
      <c r="A15" s="165"/>
      <c r="B15" s="168"/>
      <c r="C15" s="110"/>
      <c r="D15" s="110"/>
      <c r="E15" s="169"/>
      <c r="F15" s="170"/>
      <c r="G15" s="170"/>
      <c r="H15" s="170"/>
      <c r="I15" s="171"/>
      <c r="J15" s="169"/>
      <c r="K15" s="170"/>
      <c r="L15" s="170"/>
      <c r="M15" s="170"/>
      <c r="N15" s="171"/>
      <c r="O15" s="169"/>
      <c r="P15" s="170"/>
      <c r="Q15" s="170"/>
      <c r="R15" s="170"/>
      <c r="S15" s="171"/>
    </row>
    <row r="16" spans="1:19">
      <c r="A16" s="165"/>
      <c r="B16" s="168"/>
      <c r="C16" s="110"/>
      <c r="D16" s="110"/>
      <c r="E16" s="169"/>
      <c r="F16" s="170"/>
      <c r="G16" s="170"/>
      <c r="H16" s="170"/>
      <c r="I16" s="171"/>
      <c r="J16" s="169"/>
      <c r="K16" s="170"/>
      <c r="L16" s="170"/>
      <c r="M16" s="170"/>
      <c r="N16" s="171"/>
      <c r="O16" s="169"/>
      <c r="P16" s="170"/>
      <c r="Q16" s="170"/>
      <c r="R16" s="170"/>
      <c r="S16" s="171"/>
    </row>
    <row r="17" spans="1:19">
      <c r="A17" s="165"/>
      <c r="B17" s="168"/>
      <c r="C17" s="110"/>
      <c r="D17" s="110"/>
      <c r="E17" s="169"/>
      <c r="F17" s="170"/>
      <c r="G17" s="170"/>
      <c r="H17" s="170"/>
      <c r="I17" s="171"/>
      <c r="J17" s="169"/>
      <c r="K17" s="170"/>
      <c r="L17" s="170"/>
      <c r="M17" s="170"/>
      <c r="N17" s="171"/>
      <c r="O17" s="169"/>
      <c r="P17" s="170"/>
      <c r="Q17" s="170"/>
      <c r="R17" s="170"/>
      <c r="S17" s="171"/>
    </row>
    <row r="18" spans="1:19">
      <c r="A18" s="165"/>
      <c r="B18" s="168"/>
      <c r="C18" s="110"/>
      <c r="D18" s="110"/>
      <c r="E18" s="169"/>
      <c r="F18" s="170"/>
      <c r="G18" s="170"/>
      <c r="H18" s="170"/>
      <c r="I18" s="171"/>
      <c r="J18" s="169"/>
      <c r="K18" s="170"/>
      <c r="L18" s="170"/>
      <c r="M18" s="170"/>
      <c r="N18" s="171"/>
      <c r="O18" s="169"/>
      <c r="P18" s="170"/>
      <c r="Q18" s="170"/>
      <c r="R18" s="170"/>
      <c r="S18" s="171"/>
    </row>
    <row r="19" spans="1:19">
      <c r="A19" s="165"/>
      <c r="B19" s="168"/>
      <c r="C19" s="110"/>
      <c r="D19" s="110"/>
      <c r="E19" s="169"/>
      <c r="F19" s="170"/>
      <c r="G19" s="170"/>
      <c r="H19" s="170"/>
      <c r="I19" s="171"/>
      <c r="J19" s="169"/>
      <c r="K19" s="170"/>
      <c r="L19" s="170"/>
      <c r="M19" s="170"/>
      <c r="N19" s="171"/>
      <c r="O19" s="169"/>
      <c r="P19" s="170"/>
      <c r="Q19" s="170"/>
      <c r="R19" s="170"/>
      <c r="S19" s="171"/>
    </row>
    <row r="21" spans="1:19">
      <c r="A21" s="164" t="s">
        <v>60</v>
      </c>
      <c r="B21" s="164" t="s">
        <v>33</v>
      </c>
    </row>
    <row r="22" spans="1:19">
      <c r="A22" s="110" t="s">
        <v>10</v>
      </c>
      <c r="B22" s="110">
        <v>104</v>
      </c>
    </row>
    <row r="23" spans="1:19">
      <c r="A23" s="110" t="s">
        <v>34</v>
      </c>
      <c r="B23" s="110">
        <v>20</v>
      </c>
    </row>
    <row r="24" spans="1:19">
      <c r="A24" s="110" t="s">
        <v>35</v>
      </c>
      <c r="B24" s="110">
        <v>44</v>
      </c>
    </row>
    <row r="25" spans="1:19">
      <c r="A25" s="110" t="s">
        <v>11</v>
      </c>
      <c r="B25" s="110">
        <v>18</v>
      </c>
    </row>
    <row r="26" spans="1:19">
      <c r="A26" s="110" t="s">
        <v>12</v>
      </c>
      <c r="B26" s="110">
        <v>2</v>
      </c>
    </row>
    <row r="27" spans="1:19">
      <c r="A27" s="110" t="s">
        <v>16</v>
      </c>
      <c r="B27" s="110">
        <v>38</v>
      </c>
    </row>
    <row r="28" spans="1:19">
      <c r="A28" s="110" t="s">
        <v>36</v>
      </c>
      <c r="B28" s="110">
        <v>13</v>
      </c>
    </row>
    <row r="29" spans="1:19">
      <c r="A29" s="110" t="s">
        <v>56</v>
      </c>
      <c r="B29" s="110">
        <v>27</v>
      </c>
    </row>
    <row r="30" spans="1:19">
      <c r="A30" s="110" t="s">
        <v>188</v>
      </c>
      <c r="B30" s="110">
        <v>17</v>
      </c>
    </row>
    <row r="31" spans="1:19">
      <c r="A31" s="110" t="s">
        <v>57</v>
      </c>
      <c r="B31" s="110">
        <v>28</v>
      </c>
    </row>
    <row r="32" spans="1:19">
      <c r="A32" s="110" t="s">
        <v>50</v>
      </c>
      <c r="B32" s="110">
        <v>12</v>
      </c>
    </row>
    <row r="33" spans="1:2">
      <c r="A33" s="110" t="s">
        <v>51</v>
      </c>
      <c r="B33" s="110" t="s">
        <v>59</v>
      </c>
    </row>
    <row r="34" spans="1:2">
      <c r="A34" s="110" t="s">
        <v>54</v>
      </c>
      <c r="B34" s="110" t="s">
        <v>59</v>
      </c>
    </row>
    <row r="35" spans="1:2">
      <c r="A35" s="110" t="s">
        <v>52</v>
      </c>
      <c r="B35" s="110">
        <v>30</v>
      </c>
    </row>
    <row r="36" spans="1:2">
      <c r="A36" s="110" t="s">
        <v>53</v>
      </c>
      <c r="B36" s="110">
        <v>16</v>
      </c>
    </row>
    <row r="37" spans="1:2">
      <c r="A37" s="110" t="s">
        <v>203</v>
      </c>
      <c r="B37" s="110">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activeCell="A3" sqref="A3"/>
    </sheetView>
  </sheetViews>
  <sheetFormatPr defaultColWidth="8.75" defaultRowHeight="15.75"/>
  <cols>
    <col min="1" max="1" width="3.5" style="96" customWidth="1"/>
    <col min="2" max="4" width="39.875" style="96" customWidth="1"/>
    <col min="5" max="16384" width="8.75" style="96"/>
  </cols>
  <sheetData>
    <row r="1" spans="2:4">
      <c r="B1" s="177" t="s">
        <v>47</v>
      </c>
      <c r="C1" s="177" t="s">
        <v>48</v>
      </c>
      <c r="D1" s="177" t="s">
        <v>49</v>
      </c>
    </row>
    <row r="2" spans="2:4">
      <c r="B2" s="110" t="s">
        <v>196</v>
      </c>
      <c r="C2" s="110" t="s">
        <v>196</v>
      </c>
      <c r="D2" s="110" t="s">
        <v>196</v>
      </c>
    </row>
    <row r="3" spans="2:4">
      <c r="B3" s="168" t="s">
        <v>187</v>
      </c>
      <c r="C3" s="168" t="s">
        <v>197</v>
      </c>
      <c r="D3" s="168" t="s">
        <v>149</v>
      </c>
    </row>
    <row r="4" spans="2:4">
      <c r="B4" s="166" t="s">
        <v>198</v>
      </c>
      <c r="C4" s="166" t="s">
        <v>199</v>
      </c>
      <c r="D4" s="166" t="s">
        <v>200</v>
      </c>
    </row>
    <row r="5" spans="2:4">
      <c r="B5" s="110" t="s">
        <v>199</v>
      </c>
      <c r="C5" s="110"/>
      <c r="D5" s="168" t="s">
        <v>199</v>
      </c>
    </row>
    <row r="6" spans="2:4">
      <c r="B6" s="110"/>
      <c r="C6" s="110"/>
      <c r="D6" s="168"/>
    </row>
    <row r="7" spans="2:4">
      <c r="B7" s="110"/>
      <c r="C7" s="110"/>
      <c r="D7" s="168"/>
    </row>
    <row r="8" spans="2:4">
      <c r="B8" s="110"/>
      <c r="C8" s="110"/>
      <c r="D8" s="168"/>
    </row>
    <row r="9" spans="2:4">
      <c r="B9" s="110"/>
      <c r="C9" s="110"/>
      <c r="D9" s="168"/>
    </row>
    <row r="10" spans="2:4">
      <c r="B10" s="110"/>
      <c r="C10" s="110"/>
      <c r="D10" s="168"/>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別紙１</vt:lpstr>
      <vt:lpstr>別紙２</vt:lpstr>
      <vt:lpstr>別添資料</vt:lpstr>
      <vt:lpstr>設備機能および構造</vt:lpstr>
      <vt:lpstr>選択肢</vt:lpstr>
      <vt:lpstr>選択肢2</vt:lpstr>
      <vt:lpstr>HFC23_</vt:lpstr>
      <vt:lpstr>HFC32_</vt:lpstr>
      <vt:lpstr>HFC41_</vt:lpstr>
      <vt:lpstr>表紙!Print_Area</vt:lpstr>
      <vt:lpstr>別紙１!Print_Area</vt:lpstr>
      <vt:lpstr>別紙２!Print_Area</vt:lpstr>
      <vt:lpstr>別添資料!Print_Area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2022-09-30T03:16:23Z</cp:lastPrinted>
  <dcterms:created xsi:type="dcterms:W3CDTF">2019-05-17T03:10:35Z</dcterms:created>
  <dcterms:modified xsi:type="dcterms:W3CDTF">2024-09-10T02:24:09Z</dcterms:modified>
</cp:coreProperties>
</file>