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y_kobayashi_tky_ieej_or_jp/Documents/2022 METI Ammonia/"/>
    </mc:Choice>
  </mc:AlternateContent>
  <xr:revisionPtr revIDLastSave="8" documentId="13_ncr:1_{30DD4D09-2236-4686-AA82-1ADFCE5F5C15}" xr6:coauthVersionLast="47" xr6:coauthVersionMax="47" xr10:uidLastSave="{172D47E2-7006-4D5A-83B5-F4B072AB3474}"/>
  <bookViews>
    <workbookView xWindow="-120" yWindow="-120" windowWidth="29040" windowHeight="15840" tabRatio="719" activeTab="1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2" l="1"/>
  <c r="E29" i="32"/>
  <c r="G5" i="33" s="1"/>
  <c r="E34" i="32"/>
  <c r="C7" i="33"/>
  <c r="C6" i="33"/>
  <c r="E41" i="32"/>
  <c r="Q5" i="32"/>
  <c r="R5" i="32" s="1"/>
  <c r="P27" i="32" l="1"/>
  <c r="P26" i="32"/>
  <c r="H9" i="32" l="1"/>
  <c r="H34" i="32" s="1"/>
  <c r="C24" i="32" l="1"/>
  <c r="C12" i="32"/>
  <c r="G26" i="33"/>
  <c r="F26" i="33" s="1"/>
  <c r="S5" i="32"/>
  <c r="T5" i="32" s="1"/>
  <c r="I17" i="33"/>
  <c r="I18" i="33"/>
  <c r="C14" i="32"/>
  <c r="C15" i="32" s="1"/>
  <c r="H32" i="32" s="1"/>
  <c r="D2" i="33"/>
  <c r="H7" i="32"/>
  <c r="H33" i="32" s="1"/>
  <c r="P13" i="32" s="1"/>
  <c r="P30" i="32"/>
  <c r="P21" i="32"/>
  <c r="P38" i="32" s="1"/>
  <c r="H40" i="32"/>
  <c r="H42" i="32" s="1"/>
  <c r="P20" i="32"/>
  <c r="Q20" i="32" s="1"/>
  <c r="P29" i="32"/>
  <c r="P28" i="32"/>
  <c r="P25" i="32"/>
  <c r="C27" i="32" l="1"/>
  <c r="C28" i="32" s="1"/>
  <c r="C13" i="32"/>
  <c r="Q21" i="32"/>
  <c r="R21" i="32" s="1"/>
  <c r="I16" i="33"/>
  <c r="E26" i="33"/>
  <c r="P22" i="32"/>
  <c r="R20" i="32"/>
  <c r="C36" i="32"/>
  <c r="C5" i="33"/>
  <c r="G23" i="33"/>
  <c r="H23" i="33" s="1"/>
  <c r="C60" i="33"/>
  <c r="D60" i="33"/>
  <c r="E60" i="33"/>
  <c r="F60" i="33"/>
  <c r="S20" i="32" l="1"/>
  <c r="T20" i="32"/>
  <c r="H16" i="33"/>
  <c r="D26" i="33"/>
  <c r="T21" i="32"/>
  <c r="U21" i="32" s="1"/>
  <c r="S21" i="32"/>
  <c r="Q13" i="32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P11" i="32"/>
  <c r="C29" i="32"/>
  <c r="C8" i="33" s="1"/>
  <c r="I23" i="33"/>
  <c r="S22" i="32" l="1"/>
  <c r="C30" i="32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E62" i="33"/>
  <c r="E63" i="33" s="1"/>
  <c r="D62" i="33"/>
  <c r="D63" i="33" s="1"/>
  <c r="C62" i="33"/>
  <c r="G38" i="33" l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H28" i="32"/>
  <c r="H36" i="32"/>
  <c r="H37" i="32" s="1"/>
  <c r="H17" i="32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G39" i="33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H38" i="32" s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U12" i="32" s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 s="1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C67" i="33" s="1"/>
  <c r="AB44" i="33"/>
  <c r="AC44" i="33" s="1"/>
  <c r="AB68" i="33" l="1"/>
  <c r="AC68" i="33" s="1"/>
  <c r="G14" i="33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<sst xmlns="http://schemas.openxmlformats.org/spreadsheetml/2006/main" count="367" uniqueCount="299">
  <si>
    <t>EIRR＝</t>
    <phoneticPr fontId="195"/>
  </si>
  <si>
    <t>t-NH3/y</t>
    <phoneticPr fontId="195"/>
  </si>
  <si>
    <t>Utility &amp; Others</t>
    <phoneticPr fontId="195"/>
  </si>
  <si>
    <t>t-NH3/ｄ</t>
    <phoneticPr fontId="195"/>
  </si>
  <si>
    <t>1)</t>
    <phoneticPr fontId="195"/>
  </si>
  <si>
    <t>MW/h</t>
  </si>
  <si>
    <t>d/y</t>
    <phoneticPr fontId="195"/>
  </si>
  <si>
    <t>kWh/t-NH3</t>
    <phoneticPr fontId="195"/>
  </si>
  <si>
    <t>％</t>
    <phoneticPr fontId="195"/>
  </si>
  <si>
    <t>2)</t>
    <phoneticPr fontId="195"/>
  </si>
  <si>
    <t>1,000WT-t/d</t>
    <phoneticPr fontId="4"/>
  </si>
  <si>
    <t>WT-t/t-NH3</t>
    <phoneticPr fontId="4"/>
  </si>
  <si>
    <t>NG</t>
    <phoneticPr fontId="195"/>
  </si>
  <si>
    <t>3)</t>
    <phoneticPr fontId="195"/>
  </si>
  <si>
    <t>U$/t-NH3</t>
    <phoneticPr fontId="4"/>
  </si>
  <si>
    <t>Gcal /t-NH3</t>
    <phoneticPr fontId="4"/>
  </si>
  <si>
    <t>HHV</t>
    <phoneticPr fontId="195"/>
  </si>
  <si>
    <t>4)</t>
    <phoneticPr fontId="195"/>
  </si>
  <si>
    <t>t-NG /t-NH3</t>
    <phoneticPr fontId="4"/>
  </si>
  <si>
    <t xml:space="preserve"> Field Manager 1)</t>
    <phoneticPr fontId="4"/>
  </si>
  <si>
    <t>t-NG/d</t>
    <phoneticPr fontId="4"/>
  </si>
  <si>
    <t xml:space="preserve">  Shift Leader(MＧ)2)</t>
    <phoneticPr fontId="4"/>
  </si>
  <si>
    <t>$/MMBTU</t>
    <phoneticPr fontId="4"/>
  </si>
  <si>
    <t xml:space="preserve">  Field Operator3)</t>
    <phoneticPr fontId="4"/>
  </si>
  <si>
    <t>$/NG-t</t>
    <phoneticPr fontId="195"/>
  </si>
  <si>
    <t xml:space="preserve">  Panel Operator4)</t>
    <phoneticPr fontId="4"/>
  </si>
  <si>
    <t xml:space="preserve">  Labo Technician5)</t>
    <phoneticPr fontId="4"/>
  </si>
  <si>
    <t>t-CO2/t-NH3</t>
    <phoneticPr fontId="4"/>
  </si>
  <si>
    <t>t-CO2/d</t>
    <phoneticPr fontId="4"/>
  </si>
  <si>
    <t>t-CO2/y</t>
    <phoneticPr fontId="4"/>
  </si>
  <si>
    <t>EIRR =</t>
    <phoneticPr fontId="195"/>
  </si>
  <si>
    <t>1,000US＄</t>
    <phoneticPr fontId="195"/>
  </si>
  <si>
    <t>　CAPEX</t>
    <phoneticPr fontId="195"/>
  </si>
  <si>
    <t>　Managers  1)+2)</t>
    <phoneticPr fontId="4"/>
  </si>
  <si>
    <t>　ISBL</t>
    <phoneticPr fontId="195"/>
  </si>
  <si>
    <t>　Panel Operators 4)+5)</t>
    <phoneticPr fontId="4"/>
  </si>
  <si>
    <t xml:space="preserve">　OSBL* </t>
    <phoneticPr fontId="195"/>
  </si>
  <si>
    <t>*ISBLx50%</t>
    <phoneticPr fontId="195"/>
  </si>
  <si>
    <t>　Field Operators 3)</t>
    <phoneticPr fontId="4"/>
  </si>
  <si>
    <t>a</t>
    <phoneticPr fontId="195"/>
  </si>
  <si>
    <t>US$/T-NH3</t>
    <phoneticPr fontId="4"/>
  </si>
  <si>
    <t>-</t>
    <phoneticPr fontId="195"/>
  </si>
  <si>
    <t>b</t>
    <phoneticPr fontId="195"/>
  </si>
  <si>
    <t>CAPEX x</t>
    <phoneticPr fontId="4"/>
  </si>
  <si>
    <t>*+a+b</t>
    <phoneticPr fontId="195"/>
  </si>
  <si>
    <t>①x80％＋②x20％</t>
    <phoneticPr fontId="195"/>
  </si>
  <si>
    <t>　　ISBL+OSBL</t>
    <phoneticPr fontId="195"/>
  </si>
  <si>
    <t>c</t>
    <phoneticPr fontId="195"/>
  </si>
  <si>
    <t>d</t>
    <phoneticPr fontId="195"/>
  </si>
  <si>
    <t>US$/kWh</t>
    <phoneticPr fontId="4"/>
  </si>
  <si>
    <t>Owner's Cost</t>
    <phoneticPr fontId="4"/>
  </si>
  <si>
    <t>US$/WT-t</t>
    <phoneticPr fontId="4"/>
  </si>
  <si>
    <t>US$/t-CO2</t>
    <phoneticPr fontId="195"/>
  </si>
  <si>
    <t>Cash Cost (1+2)</t>
    <phoneticPr fontId="195"/>
  </si>
  <si>
    <t xml:space="preserve">MJ/kg </t>
    <phoneticPr fontId="195"/>
  </si>
  <si>
    <t>kg/kmol</t>
    <phoneticPr fontId="195"/>
  </si>
  <si>
    <t>kg-CO2/NG-kg</t>
    <phoneticPr fontId="195"/>
  </si>
  <si>
    <t>1,000US$</t>
    <phoneticPr fontId="4"/>
  </si>
  <si>
    <t>$/10^6btu</t>
    <phoneticPr fontId="195"/>
  </si>
  <si>
    <t>OSBL</t>
    <phoneticPr fontId="195"/>
  </si>
  <si>
    <t>Contingency</t>
    <phoneticPr fontId="195"/>
  </si>
  <si>
    <t>1,000t/y</t>
    <phoneticPr fontId="4"/>
  </si>
  <si>
    <t>WACC</t>
    <phoneticPr fontId="4"/>
  </si>
  <si>
    <t>Terminal Value</t>
    <phoneticPr fontId="195"/>
  </si>
  <si>
    <t>(1=Inc, 0=not)</t>
    <phoneticPr fontId="195"/>
  </si>
  <si>
    <t>$/t</t>
    <phoneticPr fontId="4"/>
  </si>
  <si>
    <t>EIRR</t>
    <phoneticPr fontId="195"/>
  </si>
  <si>
    <t xml:space="preserve"> </t>
    <phoneticPr fontId="195"/>
  </si>
  <si>
    <t>Equity</t>
    <phoneticPr fontId="4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</si>
  <si>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</si>
  <si>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</si>
  <si>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</si>
  <si>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</si>
  <si>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</si>
  <si>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</si>
  <si>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</si>
  <si>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</si>
  <si>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</si>
  <si>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</si>
  <si>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</si>
  <si>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</si>
  <si>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</si>
  <si>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</si>
  <si>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</si>
  <si>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</si>
  <si>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</si>
  <si>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</si>
  <si>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</si>
  <si>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</si>
  <si>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</si>
  <si>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</si>
  <si>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</si>
  <si>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</si>
  <si>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</si>
  <si>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</si>
  <si>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</si>
  <si>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</si>
  <si>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</si>
  <si>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</si>
  <si>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</si>
  <si>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</si>
  <si>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</si>
  <si>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</si>
  <si>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</si>
  <si>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</si>
  <si>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</si>
  <si>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</si>
  <si>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</si>
  <si>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Repayment</t>
    <phoneticPr fontId="4"/>
  </si>
  <si>
    <t>Interest</t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</si>
  <si>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</si>
  <si>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</si>
  <si>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</si>
  <si>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</si>
  <si>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</si>
  <si>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</si>
  <si>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</si>
  <si>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</si>
  <si>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Insurance</t>
    <phoneticPr fontId="4"/>
  </si>
  <si>
    <t>EBT</t>
    <phoneticPr fontId="4"/>
  </si>
  <si>
    <t>Net Income</t>
    <phoneticPr fontId="4"/>
  </si>
  <si>
    <t>INCOME</t>
    <phoneticPr fontId="195"/>
  </si>
  <si>
    <t xml:space="preserve">Equity IRR </t>
    <phoneticPr fontId="4"/>
  </si>
  <si>
    <t>(Debt=non recourse P/F basis)</t>
    <phoneticPr fontId="4"/>
  </si>
  <si>
    <t>TAX</t>
    <phoneticPr fontId="4"/>
  </si>
  <si>
    <t>Middle East 2</t>
    <phoneticPr fontId="195"/>
  </si>
  <si>
    <t>Region</t>
    <phoneticPr fontId="195"/>
  </si>
  <si>
    <t>IRR Calculation Sheets</t>
    <phoneticPr fontId="4"/>
  </si>
  <si>
    <t>NH3 Production per Year</t>
    <phoneticPr fontId="4"/>
  </si>
  <si>
    <t>NH3 Production per Day</t>
    <phoneticPr fontId="195"/>
  </si>
  <si>
    <t>Operating Days per Year</t>
    <phoneticPr fontId="195"/>
  </si>
  <si>
    <t>Facility Utilization Rate</t>
    <phoneticPr fontId="4"/>
  </si>
  <si>
    <t>Production Process</t>
    <phoneticPr fontId="195"/>
  </si>
  <si>
    <t>Assumptions</t>
    <phoneticPr fontId="4"/>
  </si>
  <si>
    <t>8,000 Hours</t>
    <phoneticPr fontId="195"/>
  </si>
  <si>
    <t>Second Generation
~ O2-ATR Method</t>
    <phoneticPr fontId="195"/>
  </si>
  <si>
    <t>Natural Gas Input per Day</t>
    <phoneticPr fontId="195"/>
  </si>
  <si>
    <t>CO2 Capture</t>
    <phoneticPr fontId="195"/>
  </si>
  <si>
    <t xml:space="preserve">    CO2 Emission per Ton of NH3</t>
    <phoneticPr fontId="195"/>
  </si>
  <si>
    <t>　Captured Amount</t>
    <phoneticPr fontId="195"/>
  </si>
  <si>
    <t>　Capture Rate</t>
    <phoneticPr fontId="195"/>
  </si>
  <si>
    <t>Investment</t>
    <phoneticPr fontId="4"/>
  </si>
  <si>
    <t>Raw Fuel Input</t>
    <phoneticPr fontId="195"/>
  </si>
  <si>
    <t>Only SynGas</t>
    <phoneticPr fontId="195"/>
  </si>
  <si>
    <t>Ratio of Captured Amount
to Total Emission</t>
    <phoneticPr fontId="195"/>
  </si>
  <si>
    <t>　Additional Cost: 1) CO2 P/L</t>
    <phoneticPr fontId="195"/>
  </si>
  <si>
    <t>　　OSBL Subtotal</t>
    <phoneticPr fontId="195"/>
  </si>
  <si>
    <t>Total</t>
    <phoneticPr fontId="195"/>
  </si>
  <si>
    <t>　　Total</t>
    <phoneticPr fontId="195"/>
  </si>
  <si>
    <t>(After LF Adjustment )</t>
    <phoneticPr fontId="195"/>
  </si>
  <si>
    <t>Recalculated Total</t>
    <phoneticPr fontId="195"/>
  </si>
  <si>
    <t>Years of Depreciation</t>
    <phoneticPr fontId="195"/>
  </si>
  <si>
    <t>L/F (Using the U.S. as a reference)=</t>
    <phoneticPr fontId="195"/>
  </si>
  <si>
    <t>After LF Adjustmentｘ</t>
    <phoneticPr fontId="195"/>
  </si>
  <si>
    <t>Straight-line Depreciation</t>
    <phoneticPr fontId="195"/>
  </si>
  <si>
    <t>Composition, Heating Value, and CO2 Emission
of Natural Gas being used as Material and Fuel</t>
    <phoneticPr fontId="195"/>
  </si>
  <si>
    <t>Composition (mol%)</t>
    <phoneticPr fontId="195"/>
  </si>
  <si>
    <t>Higher Heating Value (HHV）</t>
    <phoneticPr fontId="195"/>
  </si>
  <si>
    <t>Lower Heating Value (LHV）</t>
    <phoneticPr fontId="195"/>
  </si>
  <si>
    <t>Average Molecular Weight (MW）</t>
    <phoneticPr fontId="195"/>
  </si>
  <si>
    <t>CO2 Emission</t>
    <phoneticPr fontId="195"/>
  </si>
  <si>
    <t>Ratio of LHV to HHV</t>
    <phoneticPr fontId="195"/>
  </si>
  <si>
    <t>Electric Power (Purchase)</t>
    <phoneticPr fontId="195"/>
  </si>
  <si>
    <t>Industrial Water (Purchase)</t>
    <phoneticPr fontId="195"/>
  </si>
  <si>
    <t>Industrial Water per Ton of NH3</t>
    <phoneticPr fontId="195"/>
  </si>
  <si>
    <t>Personnel</t>
    <phoneticPr fontId="195"/>
  </si>
  <si>
    <t>persons ＝</t>
    <phoneticPr fontId="4"/>
  </si>
  <si>
    <t>persons</t>
    <phoneticPr fontId="4"/>
  </si>
  <si>
    <t>persons/shift x</t>
    <phoneticPr fontId="4"/>
  </si>
  <si>
    <t>shift/day</t>
    <phoneticPr fontId="4"/>
  </si>
  <si>
    <t>Cost Calculation (First Year)</t>
    <phoneticPr fontId="4"/>
  </si>
  <si>
    <t>1. Fixed Cost</t>
    <phoneticPr fontId="4"/>
  </si>
  <si>
    <t>Labor Cost (Operators)</t>
    <phoneticPr fontId="4"/>
  </si>
  <si>
    <t>1,000$/person</t>
    <phoneticPr fontId="4"/>
  </si>
  <si>
    <t>Subtotal</t>
    <phoneticPr fontId="195"/>
  </si>
  <si>
    <t>Maintenance Cost ②</t>
    <phoneticPr fontId="195"/>
  </si>
  <si>
    <t>Insurance and Indirect Tax</t>
    <phoneticPr fontId="195"/>
  </si>
  <si>
    <t>2. Variable Cost</t>
    <phoneticPr fontId="4"/>
  </si>
  <si>
    <t>Export Price (FOB)</t>
    <phoneticPr fontId="195"/>
  </si>
  <si>
    <t>Freight</t>
    <phoneticPr fontId="195"/>
  </si>
  <si>
    <t>CIF Price in Japan</t>
    <phoneticPr fontId="195"/>
  </si>
  <si>
    <t>FOB, Fuel Tanker</t>
    <phoneticPr fontId="195"/>
  </si>
  <si>
    <t>Cost Breakdown（by Accounting Item: PL）</t>
    <phoneticPr fontId="4"/>
  </si>
  <si>
    <t>Construction and Commissioning: 4 years</t>
  </si>
  <si>
    <t>1st Year</t>
    <phoneticPr fontId="195"/>
  </si>
  <si>
    <t>8th Year</t>
    <phoneticPr fontId="195"/>
  </si>
  <si>
    <t>13th Year</t>
    <phoneticPr fontId="195"/>
  </si>
  <si>
    <t>18th Year</t>
    <phoneticPr fontId="195"/>
  </si>
  <si>
    <t>20th Year</t>
    <phoneticPr fontId="195"/>
  </si>
  <si>
    <t>The duration of the project
is assumed to be 20 years.</t>
    <phoneticPr fontId="195"/>
  </si>
  <si>
    <t>Fixed Cost (US$/t-NH3)</t>
    <phoneticPr fontId="195"/>
  </si>
  <si>
    <t>　Labor Cost</t>
    <phoneticPr fontId="4"/>
  </si>
  <si>
    <t>　Maintenance Cost</t>
    <phoneticPr fontId="195"/>
  </si>
  <si>
    <t>　General Management Cost,
    Insurance, Tax, and Rent</t>
    <phoneticPr fontId="195"/>
  </si>
  <si>
    <t>　Cost of Natural Gas</t>
    <phoneticPr fontId="195"/>
  </si>
  <si>
    <t>　Cost of CO2 Sequestration</t>
    <phoneticPr fontId="195"/>
  </si>
  <si>
    <t>　Others</t>
    <phoneticPr fontId="195"/>
  </si>
  <si>
    <t>　Depreciation Expenses</t>
    <phoneticPr fontId="195"/>
  </si>
  <si>
    <t xml:space="preserve">Corporate Tax (US$/t-NH3) * </t>
    <phoneticPr fontId="195"/>
  </si>
  <si>
    <t>Profit (after Tax)</t>
    <phoneticPr fontId="195"/>
  </si>
  <si>
    <t>Export Price (FOB) (US$/t-NH3)</t>
    <phoneticPr fontId="195"/>
  </si>
  <si>
    <t>CIF Price in Japan (US$/t-NH3)</t>
    <phoneticPr fontId="195"/>
  </si>
  <si>
    <t>(Financial Condition)</t>
    <phoneticPr fontId="195"/>
  </si>
  <si>
    <t>Interest Rate</t>
    <phoneticPr fontId="195"/>
  </si>
  <si>
    <t>Annual Rate of Price Increase (NH3)</t>
    <phoneticPr fontId="195"/>
  </si>
  <si>
    <t>Annual Rate of Price Increase (NG)</t>
    <phoneticPr fontId="195"/>
  </si>
  <si>
    <t>Annual Rate of Price Increase (Others)</t>
    <phoneticPr fontId="195"/>
  </si>
  <si>
    <t>Corporate Tax</t>
    <phoneticPr fontId="195"/>
  </si>
  <si>
    <t>Cost Breakdown by Segment (First Year)</t>
    <phoneticPr fontId="4"/>
  </si>
  <si>
    <t>Purchase of Natural Gas</t>
    <phoneticPr fontId="195"/>
  </si>
  <si>
    <t>NH3 Production , CO2 Capture, etc.</t>
    <phoneticPr fontId="195"/>
  </si>
  <si>
    <t>Export Price (FOB）</t>
    <phoneticPr fontId="195"/>
  </si>
  <si>
    <t>Transportation from Country of Production to Japan</t>
    <phoneticPr fontId="195"/>
  </si>
  <si>
    <t>Unloading and Delivery</t>
    <phoneticPr fontId="195"/>
  </si>
  <si>
    <t>Yen/T-NH3</t>
    <phoneticPr fontId="4"/>
  </si>
  <si>
    <t>= Default Input (Recommended Value)</t>
    <phoneticPr fontId="195"/>
  </si>
  <si>
    <t>= Input for Sensitivity Analysis</t>
    <phoneticPr fontId="195"/>
  </si>
  <si>
    <t>= Input for IRR sheet</t>
    <phoneticPr fontId="195"/>
  </si>
  <si>
    <t>Exchange Rate</t>
    <phoneticPr fontId="195"/>
  </si>
  <si>
    <t>Yen/US$</t>
    <phoneticPr fontId="195"/>
  </si>
  <si>
    <t>IRR Calculation Sheets</t>
    <phoneticPr fontId="195"/>
  </si>
  <si>
    <t>(Assumptions)</t>
    <phoneticPr fontId="195"/>
  </si>
  <si>
    <t>EPC Total (Adjusted for Inflation)</t>
    <phoneticPr fontId="4"/>
  </si>
  <si>
    <t xml:space="preserve"> NH3 export (tank+P/L, etc.)*1</t>
    <phoneticPr fontId="195"/>
  </si>
  <si>
    <t xml:space="preserve"> CO2 transport (to CCS sites)*2</t>
    <phoneticPr fontId="195"/>
  </si>
  <si>
    <t>NH3 Production Capacity</t>
    <phoneticPr fontId="4"/>
  </si>
  <si>
    <t>Utilization Rate</t>
    <phoneticPr fontId="4"/>
  </si>
  <si>
    <t>NH3 Shipping Price (FOB)</t>
    <phoneticPr fontId="4"/>
  </si>
  <si>
    <t>Interest Rate</t>
    <phoneticPr fontId="4"/>
  </si>
  <si>
    <t>Corporate Tax Rate</t>
    <phoneticPr fontId="4"/>
  </si>
  <si>
    <t>for ISBL+OSBL</t>
    <phoneticPr fontId="195"/>
  </si>
  <si>
    <t>for EPC Total</t>
    <phoneticPr fontId="195"/>
  </si>
  <si>
    <t>from 0 to 5 %</t>
    <phoneticPr fontId="195"/>
  </si>
  <si>
    <t>NG Price</t>
    <phoneticPr fontId="195"/>
  </si>
  <si>
    <t>Duration of Project</t>
    <phoneticPr fontId="4"/>
  </si>
  <si>
    <t>Principal Repayment Period</t>
    <phoneticPr fontId="4"/>
  </si>
  <si>
    <t>Depreciation Period</t>
    <phoneticPr fontId="4"/>
  </si>
  <si>
    <t>Capital Raising Cost</t>
    <phoneticPr fontId="4"/>
  </si>
  <si>
    <t>Reduction Rate</t>
    <phoneticPr fontId="195"/>
  </si>
  <si>
    <t>years</t>
    <phoneticPr fontId="4"/>
  </si>
  <si>
    <t>Default Value</t>
    <phoneticPr fontId="195"/>
  </si>
  <si>
    <t>ON/OFF</t>
    <phoneticPr fontId="195"/>
  </si>
  <si>
    <t>Sensitivity Analysis</t>
    <phoneticPr fontId="195"/>
  </si>
  <si>
    <t>Financial Input Value</t>
    <phoneticPr fontId="195"/>
  </si>
  <si>
    <t>Input Value</t>
    <phoneticPr fontId="195"/>
  </si>
  <si>
    <t>Remaining Depreciation Years</t>
    <phoneticPr fontId="195"/>
  </si>
  <si>
    <t>Average Selling Price</t>
    <phoneticPr fontId="195"/>
  </si>
  <si>
    <t>Principal and Interest</t>
    <phoneticPr fontId="195"/>
  </si>
  <si>
    <t>Capital</t>
    <phoneticPr fontId="195"/>
  </si>
  <si>
    <t>Depreciation</t>
    <phoneticPr fontId="195"/>
  </si>
  <si>
    <t>Tax (Corporate Tax under Tax Code)</t>
    <phoneticPr fontId="4"/>
  </si>
  <si>
    <t>Operating Income to Net Sales</t>
    <phoneticPr fontId="4"/>
  </si>
  <si>
    <t>Tax (Accounting Corporate Tax)</t>
    <phoneticPr fontId="4"/>
  </si>
  <si>
    <t>Devidend (Dividend rate is 100%.)</t>
    <phoneticPr fontId="195"/>
  </si>
  <si>
    <t>Depreciation Rate</t>
    <phoneticPr fontId="4"/>
  </si>
  <si>
    <t>Depreciation for Tax Purposes</t>
    <phoneticPr fontId="4"/>
  </si>
  <si>
    <t>Remaining Book Value at Year End</t>
    <phoneticPr fontId="4"/>
  </si>
  <si>
    <t xml:space="preserve"> ISBL+OSBL (excluding *1 and *2)</t>
    <phoneticPr fontId="195"/>
  </si>
  <si>
    <t xml:space="preserve"> Contingency allowance</t>
    <phoneticPr fontId="195"/>
  </si>
  <si>
    <t xml:space="preserve"> EPC Cost reduction</t>
    <phoneticPr fontId="195"/>
  </si>
  <si>
    <t>Annual % of Price Increase (NH3)</t>
    <phoneticPr fontId="4"/>
  </si>
  <si>
    <t>Annual % of Price Increase (NG)</t>
    <phoneticPr fontId="4"/>
  </si>
  <si>
    <t>Annual % of Price Increase
(other than NH3 and NG)</t>
    <phoneticPr fontId="4"/>
  </si>
  <si>
    <t>Equity %</t>
    <phoneticPr fontId="4"/>
  </si>
  <si>
    <t>Debt Service Coverage Ratio</t>
    <phoneticPr fontId="195"/>
  </si>
  <si>
    <t>EPC cost reduction rate</t>
    <phoneticPr fontId="195"/>
  </si>
  <si>
    <t>of ISBL and OSBL</t>
    <phoneticPr fontId="195"/>
  </si>
  <si>
    <t>Debt Service Coverage Ratio (DSCR)</t>
    <phoneticPr fontId="195"/>
  </si>
  <si>
    <t>Accelerated Depreciation</t>
    <phoneticPr fontId="4"/>
  </si>
  <si>
    <t>Taxable Income
(under accelerated depreciation)</t>
    <phoneticPr fontId="4"/>
  </si>
  <si>
    <r>
      <t>CH</t>
    </r>
    <r>
      <rPr>
        <b/>
        <vertAlign val="subscript"/>
        <sz val="9"/>
        <rFont val="Meiryo UI"/>
        <family val="3"/>
        <charset val="128"/>
      </rPr>
      <t>4</t>
    </r>
    <r>
      <rPr>
        <b/>
        <sz val="9"/>
        <rFont val="Meiryo UI"/>
        <family val="3"/>
        <charset val="128"/>
      </rPr>
      <t>:93.9%,C</t>
    </r>
    <r>
      <rPr>
        <b/>
        <vertAlign val="subscript"/>
        <sz val="9"/>
        <rFont val="Meiryo UI"/>
        <family val="3"/>
        <charset val="128"/>
      </rPr>
      <t>2</t>
    </r>
    <r>
      <rPr>
        <b/>
        <sz val="9"/>
        <rFont val="Meiryo UI"/>
        <family val="3"/>
        <charset val="128"/>
      </rPr>
      <t>H</t>
    </r>
    <r>
      <rPr>
        <b/>
        <vertAlign val="subscript"/>
        <sz val="9"/>
        <rFont val="Meiryo UI"/>
        <family val="3"/>
        <charset val="128"/>
      </rPr>
      <t>6</t>
    </r>
    <r>
      <rPr>
        <b/>
        <sz val="9"/>
        <rFont val="Meiryo UI"/>
        <family val="3"/>
        <charset val="128"/>
      </rPr>
      <t>:4.2%</t>
    </r>
    <phoneticPr fontId="195"/>
  </si>
  <si>
    <t>Natural gas (NG)</t>
    <phoneticPr fontId="195"/>
  </si>
  <si>
    <t>Feedstock and Energy</t>
    <phoneticPr fontId="195"/>
  </si>
  <si>
    <t>Heat and Natural Gas
Required per ton of NH3</t>
    <phoneticPr fontId="195"/>
  </si>
  <si>
    <t>Price of feedstock and Fuel</t>
    <phoneticPr fontId="4"/>
  </si>
  <si>
    <t>Contingency allowance</t>
    <phoneticPr fontId="195"/>
  </si>
  <si>
    <t>Cost reduction</t>
    <phoneticPr fontId="195"/>
  </si>
  <si>
    <t>% of c</t>
    <phoneticPr fontId="195"/>
  </si>
  <si>
    <t>Electric Power per Ton of NH3</t>
    <phoneticPr fontId="195"/>
  </si>
  <si>
    <t>Catalyst and Chemicals per Ton of NH3</t>
    <phoneticPr fontId="195"/>
  </si>
  <si>
    <t>General &amp; Administrative Expenses (Plant)</t>
    <phoneticPr fontId="195"/>
  </si>
  <si>
    <t>Utility cost</t>
    <phoneticPr fontId="195"/>
  </si>
  <si>
    <t>Catalyst and Chemicals</t>
    <phoneticPr fontId="195"/>
  </si>
  <si>
    <t>CO2 Transfer</t>
    <phoneticPr fontId="195"/>
  </si>
  <si>
    <t>Variable cost (US$/t-NH3)</t>
    <phoneticPr fontId="195"/>
  </si>
  <si>
    <t>Depreciation &amp; Interest (US$/t-NH3)</t>
    <phoneticPr fontId="195"/>
  </si>
  <si>
    <t>　Interest</t>
    <phoneticPr fontId="195"/>
  </si>
  <si>
    <t>Transportation (Freight)</t>
    <phoneticPr fontId="195"/>
  </si>
  <si>
    <t>Note *: Corporate tax is estimated based on the profit on accounting basis, not on net cash flow basis.</t>
    <phoneticPr fontId="195"/>
  </si>
  <si>
    <t>D/E (Equity%)</t>
    <phoneticPr fontId="195"/>
  </si>
  <si>
    <t>CO2 Sequestration</t>
    <phoneticPr fontId="195"/>
  </si>
  <si>
    <t>In-tank Price (User's Price)</t>
    <phoneticPr fontId="195"/>
  </si>
  <si>
    <t>% of d</t>
    <phoneticPr fontId="195"/>
  </si>
  <si>
    <t>(Equity share of depreciation added)</t>
    <phoneticPr fontId="195"/>
  </si>
  <si>
    <t>Location factor (LF)</t>
    <phoneticPr fontId="195"/>
  </si>
  <si>
    <t>　Additional Cost: 2) NH3 Loading</t>
    <phoneticPr fontId="195"/>
  </si>
  <si>
    <t>Average
of 20 Years</t>
    <phoneticPr fontId="195"/>
  </si>
  <si>
    <t>OSBL x</t>
    <phoneticPr fontId="4"/>
  </si>
  <si>
    <t>EPC cost distribution</t>
    <phoneticPr fontId="19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</si>
</sst>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8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</numFmts>
  <fonts count="218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9.5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vertAlign val="subscript"/>
      <sz val="9"/>
      <name val="Meiryo UI"/>
      <family val="3"/>
      <charset val="128"/>
    </font>
    <font>
      <sz val="9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609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79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180" fontId="196" fillId="0" borderId="101" xfId="4" applyNumberFormat="1" applyFont="1" applyBorder="1"/>
    <xf numFmtId="0" fontId="181" fillId="0" borderId="103" xfId="4" applyFont="1" applyBorder="1"/>
    <xf numFmtId="0" fontId="181" fillId="0" borderId="101" xfId="4" applyFont="1" applyBorder="1" applyAlignment="1">
      <alignment horizontal="center"/>
    </xf>
    <xf numFmtId="0" fontId="181" fillId="0" borderId="1" xfId="4" applyFont="1" applyBorder="1"/>
    <xf numFmtId="0" fontId="181" fillId="0" borderId="0" xfId="4" applyFont="1" applyAlignment="1">
      <alignment horizontal="center"/>
    </xf>
    <xf numFmtId="0" fontId="181" fillId="0" borderId="0" xfId="4" applyFont="1" applyAlignment="1">
      <alignment vertical="center"/>
    </xf>
    <xf numFmtId="0" fontId="186" fillId="80" borderId="0" xfId="0" applyFont="1" applyFill="1"/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184" fillId="82" borderId="81" xfId="4" applyFont="1" applyFill="1" applyBorder="1" applyAlignment="1">
      <alignment horizontal="center" vertical="center" wrapText="1"/>
    </xf>
    <xf numFmtId="38" fontId="184" fillId="0" borderId="81" xfId="850" applyFont="1" applyFill="1" applyBorder="1" applyAlignment="1"/>
    <xf numFmtId="0" fontId="184" fillId="82" borderId="78" xfId="4" applyFont="1" applyFill="1" applyBorder="1" applyAlignment="1">
      <alignment horizontal="center" vertical="center" wrapText="1"/>
    </xf>
    <xf numFmtId="0" fontId="181" fillId="0" borderId="82" xfId="4" applyFont="1" applyBorder="1"/>
    <xf numFmtId="0" fontId="184" fillId="82" borderId="1" xfId="4" applyFont="1" applyFill="1" applyBorder="1" applyAlignment="1">
      <alignment horizontal="center" vertical="center" wrapText="1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86" borderId="0" xfId="4" applyFont="1" applyFill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181" fillId="0" borderId="3" xfId="4" applyFont="1" applyBorder="1"/>
    <xf numFmtId="0" fontId="181" fillId="0" borderId="8" xfId="4" applyFont="1" applyBorder="1"/>
    <xf numFmtId="0" fontId="181" fillId="0" borderId="0" xfId="6" applyFont="1">
      <alignment vertical="center"/>
    </xf>
    <xf numFmtId="0" fontId="201" fillId="0" borderId="0" xfId="0" applyFont="1" applyAlignment="1">
      <alignment horizontal="left" vertical="center"/>
    </xf>
    <xf numFmtId="0" fontId="192" fillId="0" borderId="3" xfId="8" applyFont="1" applyBorder="1" applyAlignment="1">
      <alignment horizontal="right" vertical="center"/>
    </xf>
    <xf numFmtId="270" fontId="181" fillId="0" borderId="0" xfId="4" applyNumberFormat="1" applyFont="1"/>
    <xf numFmtId="2" fontId="186" fillId="0" borderId="0" xfId="0" applyNumberFormat="1" applyFont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181" fillId="0" borderId="87" xfId="4" applyFont="1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181" fillId="0" borderId="34" xfId="4" applyFont="1" applyBorder="1" applyAlignment="1">
      <alignment wrapText="1"/>
    </xf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9" fontId="197" fillId="86" borderId="54" xfId="0" applyNumberFormat="1" applyFont="1" applyFill="1" applyBorder="1" applyAlignment="1">
      <alignment horizontal="center"/>
    </xf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177" fontId="197" fillId="81" borderId="87" xfId="851" applyNumberFormat="1" applyFont="1" applyFill="1" applyBorder="1" applyAlignment="1">
      <alignment horizontal="center"/>
    </xf>
    <xf numFmtId="9" fontId="181" fillId="0" borderId="0" xfId="851" applyFont="1" applyAlignment="1">
      <alignment horizontal="left" vertical="center"/>
    </xf>
    <xf numFmtId="0" fontId="181" fillId="0" borderId="155" xfId="4" applyFont="1" applyBorder="1"/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177" fontId="198" fillId="0" borderId="66" xfId="0" applyNumberFormat="1" applyFont="1" applyBorder="1"/>
    <xf numFmtId="183" fontId="186" fillId="85" borderId="0" xfId="0" applyNumberFormat="1" applyFont="1" applyFill="1" applyAlignment="1">
      <alignment horizontal="center"/>
    </xf>
    <xf numFmtId="38" fontId="185" fillId="89" borderId="7" xfId="850" applyFont="1" applyFill="1" applyBorder="1" applyAlignment="1">
      <alignment vertical="center"/>
    </xf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0" fontId="181" fillId="0" borderId="81" xfId="4" applyFont="1" applyBorder="1"/>
    <xf numFmtId="40" fontId="202" fillId="86" borderId="89" xfId="850" applyNumberFormat="1" applyFont="1" applyFill="1" applyBorder="1" applyAlignment="1">
      <alignment horizontal="center"/>
    </xf>
    <xf numFmtId="0" fontId="184" fillId="82" borderId="80" xfId="4" applyFont="1" applyFill="1" applyBorder="1" applyAlignment="1">
      <alignment horizontal="center" vertical="center" wrapText="1"/>
    </xf>
    <xf numFmtId="0" fontId="181" fillId="0" borderId="178" xfId="4" applyFont="1" applyBorder="1"/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84" fillId="0" borderId="98" xfId="4" applyFont="1" applyBorder="1" applyAlignment="1">
      <alignment horizontal="left" vertical="center"/>
    </xf>
    <xf numFmtId="0" fontId="203" fillId="0" borderId="0" xfId="4" applyFont="1" applyAlignment="1">
      <alignment horizontal="center" vertical="center"/>
    </xf>
    <xf numFmtId="0" fontId="204" fillId="0" borderId="0" xfId="4" applyFont="1" applyAlignment="1">
      <alignment horizontal="center" vertical="center" wrapText="1"/>
    </xf>
    <xf numFmtId="0" fontId="204" fillId="0" borderId="0" xfId="4" applyFont="1"/>
    <xf numFmtId="0" fontId="197" fillId="0" borderId="3" xfId="8" applyFont="1" applyBorder="1" applyAlignment="1">
      <alignment horizontal="right" vertical="center"/>
    </xf>
    <xf numFmtId="0" fontId="205" fillId="0" borderId="0" xfId="829" applyFont="1"/>
    <xf numFmtId="38" fontId="205" fillId="0" borderId="0" xfId="829" applyNumberFormat="1" applyFont="1"/>
    <xf numFmtId="0" fontId="205" fillId="92" borderId="69" xfId="829" applyFont="1" applyFill="1" applyBorder="1"/>
    <xf numFmtId="0" fontId="205" fillId="0" borderId="69" xfId="829" applyFont="1" applyBorder="1"/>
    <xf numFmtId="0" fontId="206" fillId="0" borderId="0" xfId="0" applyFont="1" applyAlignment="1">
      <alignment horizontal="center" vertical="center"/>
    </xf>
    <xf numFmtId="0" fontId="207" fillId="0" borderId="0" xfId="0" applyFont="1" applyAlignment="1">
      <alignment horizontal="center" vertical="center"/>
    </xf>
    <xf numFmtId="0" fontId="197" fillId="0" borderId="0" xfId="0" applyFont="1"/>
    <xf numFmtId="0" fontId="203" fillId="89" borderId="7" xfId="829" applyFont="1" applyFill="1" applyBorder="1"/>
    <xf numFmtId="0" fontId="192" fillId="89" borderId="7" xfId="0" applyFont="1" applyFill="1" applyBorder="1" applyAlignment="1">
      <alignment vertical="center"/>
    </xf>
    <xf numFmtId="0" fontId="207" fillId="0" borderId="2" xfId="829" applyFont="1" applyBorder="1" applyAlignment="1">
      <alignment vertical="center"/>
    </xf>
    <xf numFmtId="185" fontId="208" fillId="81" borderId="2" xfId="0" applyNumberFormat="1" applyFont="1" applyFill="1" applyBorder="1" applyAlignment="1">
      <alignment horizontal="center" vertical="center"/>
    </xf>
    <xf numFmtId="0" fontId="192" fillId="0" borderId="2" xfId="0" applyFont="1" applyBorder="1"/>
    <xf numFmtId="0" fontId="192" fillId="0" borderId="0" xfId="0" applyFont="1"/>
    <xf numFmtId="0" fontId="192" fillId="91" borderId="0" xfId="0" applyFont="1" applyFill="1"/>
    <xf numFmtId="0" fontId="197" fillId="0" borderId="0" xfId="829" applyFont="1"/>
    <xf numFmtId="183" fontId="184" fillId="0" borderId="87" xfId="0" applyNumberFormat="1" applyFont="1" applyBorder="1"/>
    <xf numFmtId="0" fontId="186" fillId="0" borderId="4" xfId="0" applyFont="1" applyBorder="1"/>
    <xf numFmtId="9" fontId="184" fillId="0" borderId="94" xfId="851" applyFont="1" applyFill="1" applyBorder="1" applyAlignment="1">
      <alignment horizontal="center"/>
    </xf>
    <xf numFmtId="0" fontId="197" fillId="0" borderId="94" xfId="829" applyFont="1" applyBorder="1"/>
    <xf numFmtId="0" fontId="192" fillId="83" borderId="0" xfId="0" applyFont="1" applyFill="1"/>
    <xf numFmtId="0" fontId="197" fillId="0" borderId="54" xfId="829" applyFont="1" applyBorder="1"/>
    <xf numFmtId="183" fontId="184" fillId="0" borderId="54" xfId="0" applyNumberFormat="1" applyFont="1" applyBorder="1"/>
    <xf numFmtId="0" fontId="192" fillId="0" borderId="94" xfId="0" applyFont="1" applyBorder="1"/>
    <xf numFmtId="0" fontId="197" fillId="0" borderId="54" xfId="0" applyFont="1" applyBorder="1" applyAlignment="1">
      <alignment horizontal="left" vertical="center"/>
    </xf>
    <xf numFmtId="9" fontId="184" fillId="91" borderId="54" xfId="851" applyFont="1" applyFill="1" applyBorder="1" applyAlignment="1">
      <alignment horizontal="center" vertical="center"/>
    </xf>
    <xf numFmtId="0" fontId="192" fillId="81" borderId="0" xfId="0" applyFont="1" applyFill="1"/>
    <xf numFmtId="183" fontId="184" fillId="0" borderId="94" xfId="850" applyNumberFormat="1" applyFont="1" applyBorder="1" applyAlignment="1"/>
    <xf numFmtId="0" fontId="192" fillId="0" borderId="4" xfId="0" applyFont="1" applyBorder="1"/>
    <xf numFmtId="0" fontId="197" fillId="0" borderId="89" xfId="0" applyFont="1" applyBorder="1" applyAlignment="1">
      <alignment horizontal="left" vertical="center"/>
    </xf>
    <xf numFmtId="2" fontId="184" fillId="0" borderId="89" xfId="0" applyNumberFormat="1" applyFont="1" applyBorder="1" applyAlignment="1">
      <alignment horizontal="center"/>
    </xf>
    <xf numFmtId="0" fontId="197" fillId="0" borderId="89" xfId="829" applyFont="1" applyBorder="1" applyAlignment="1">
      <alignment vertical="center"/>
    </xf>
    <xf numFmtId="0" fontId="192" fillId="86" borderId="0" xfId="0" applyFont="1" applyFill="1"/>
    <xf numFmtId="183" fontId="184" fillId="0" borderId="92" xfId="850" applyNumberFormat="1" applyFont="1" applyBorder="1" applyAlignment="1"/>
    <xf numFmtId="0" fontId="197" fillId="0" borderId="92" xfId="829" applyFont="1" applyBorder="1"/>
    <xf numFmtId="0" fontId="203" fillId="91" borderId="54" xfId="0" applyFont="1" applyFill="1" applyBorder="1" applyAlignment="1">
      <alignment horizontal="center"/>
    </xf>
    <xf numFmtId="0" fontId="209" fillId="0" borderId="92" xfId="829" applyFont="1" applyBorder="1"/>
    <xf numFmtId="183" fontId="184" fillId="0" borderId="87" xfId="850" applyNumberFormat="1" applyFont="1" applyBorder="1" applyAlignment="1"/>
    <xf numFmtId="0" fontId="192" fillId="0" borderId="87" xfId="0" applyFont="1" applyBorder="1"/>
    <xf numFmtId="9" fontId="184" fillId="90" borderId="6" xfId="851" applyFont="1" applyFill="1" applyBorder="1" applyAlignment="1">
      <alignment horizontal="center"/>
    </xf>
    <xf numFmtId="0" fontId="197" fillId="0" borderId="6" xfId="829" applyFont="1" applyBorder="1"/>
    <xf numFmtId="9" fontId="203" fillId="91" borderId="54" xfId="0" applyNumberFormat="1" applyFont="1" applyFill="1" applyBorder="1" applyAlignment="1">
      <alignment horizontal="center"/>
    </xf>
    <xf numFmtId="9" fontId="199" fillId="0" borderId="54" xfId="0" applyNumberFormat="1" applyFont="1" applyBorder="1" applyAlignment="1">
      <alignment horizontal="left"/>
    </xf>
    <xf numFmtId="183" fontId="184" fillId="90" borderId="87" xfId="850" applyNumberFormat="1" applyFont="1" applyFill="1" applyBorder="1" applyAlignment="1">
      <alignment horizontal="center"/>
    </xf>
    <xf numFmtId="0" fontId="197" fillId="0" borderId="54" xfId="0" applyFont="1" applyBorder="1"/>
    <xf numFmtId="177" fontId="184" fillId="0" borderId="54" xfId="0" applyNumberFormat="1" applyFont="1" applyBorder="1" applyAlignment="1">
      <alignment horizontal="center"/>
    </xf>
    <xf numFmtId="0" fontId="192" fillId="0" borderId="54" xfId="0" applyFont="1" applyBorder="1" applyAlignment="1">
      <alignment horizontal="right"/>
    </xf>
    <xf numFmtId="9" fontId="184" fillId="90" borderId="54" xfId="851" applyFont="1" applyFill="1" applyBorder="1" applyAlignment="1">
      <alignment horizontal="center"/>
    </xf>
    <xf numFmtId="0" fontId="192" fillId="0" borderId="54" xfId="0" applyFont="1" applyBorder="1"/>
    <xf numFmtId="0" fontId="197" fillId="0" borderId="92" xfId="0" applyFont="1" applyBorder="1"/>
    <xf numFmtId="183" fontId="184" fillId="83" borderId="92" xfId="0" applyNumberFormat="1" applyFont="1" applyFill="1" applyBorder="1" applyAlignment="1">
      <alignment horizontal="center"/>
    </xf>
    <xf numFmtId="0" fontId="210" fillId="0" borderId="92" xfId="0" applyFont="1" applyBorder="1" applyAlignment="1">
      <alignment horizontal="left"/>
    </xf>
    <xf numFmtId="0" fontId="203" fillId="0" borderId="89" xfId="829" applyFont="1" applyBorder="1"/>
    <xf numFmtId="0" fontId="192" fillId="0" borderId="89" xfId="0" applyFont="1" applyBorder="1"/>
    <xf numFmtId="0" fontId="203" fillId="89" borderId="2" xfId="0" applyFont="1" applyFill="1" applyBorder="1"/>
    <xf numFmtId="177" fontId="184" fillId="89" borderId="2" xfId="0" applyNumberFormat="1" applyFont="1" applyFill="1" applyBorder="1" applyAlignment="1">
      <alignment horizontal="center" vertical="center"/>
    </xf>
    <xf numFmtId="9" fontId="199" fillId="0" borderId="87" xfId="0" applyNumberFormat="1" applyFont="1" applyBorder="1" applyAlignment="1">
      <alignment horizontal="left"/>
    </xf>
    <xf numFmtId="0" fontId="192" fillId="0" borderId="54" xfId="0" applyFont="1" applyBorder="1" applyAlignment="1">
      <alignment horizontal="center"/>
    </xf>
    <xf numFmtId="1" fontId="184" fillId="0" borderId="2" xfId="0" quotePrefix="1" applyNumberFormat="1" applyFont="1" applyBorder="1" applyAlignment="1">
      <alignment horizontal="center"/>
    </xf>
    <xf numFmtId="177" fontId="184" fillId="90" borderId="94" xfId="851" applyNumberFormat="1" applyFont="1" applyFill="1" applyBorder="1" applyAlignment="1"/>
    <xf numFmtId="177" fontId="192" fillId="0" borderId="89" xfId="851" applyNumberFormat="1" applyFont="1" applyFill="1" applyBorder="1" applyAlignment="1">
      <alignment horizontal="center"/>
    </xf>
    <xf numFmtId="269" fontId="197" fillId="0" borderId="0" xfId="784" applyNumberFormat="1" applyFont="1" applyAlignment="1"/>
    <xf numFmtId="0" fontId="210" fillId="0" borderId="89" xfId="0" applyFont="1" applyBorder="1" applyAlignment="1">
      <alignment horizontal="left"/>
    </xf>
    <xf numFmtId="177" fontId="192" fillId="85" borderId="89" xfId="851" applyNumberFormat="1" applyFont="1" applyFill="1" applyBorder="1" applyAlignment="1"/>
    <xf numFmtId="0" fontId="197" fillId="0" borderId="0" xfId="829" applyFont="1" applyAlignment="1">
      <alignment horizontal="center"/>
    </xf>
    <xf numFmtId="0" fontId="184" fillId="0" borderId="87" xfId="829" applyFont="1" applyBorder="1"/>
    <xf numFmtId="0" fontId="184" fillId="0" borderId="54" xfId="829" applyFont="1" applyBorder="1"/>
    <xf numFmtId="0" fontId="184" fillId="0" borderId="94" xfId="829" applyFont="1" applyBorder="1"/>
    <xf numFmtId="0" fontId="184" fillId="0" borderId="54" xfId="829" applyFont="1" applyBorder="1" applyAlignment="1">
      <alignment horizontal="left" vertical="center"/>
    </xf>
    <xf numFmtId="0" fontId="184" fillId="0" borderId="89" xfId="829" applyFont="1" applyBorder="1"/>
    <xf numFmtId="0" fontId="203" fillId="0" borderId="87" xfId="829" applyFont="1" applyBorder="1"/>
    <xf numFmtId="0" fontId="203" fillId="0" borderId="54" xfId="829" applyFont="1" applyBorder="1"/>
    <xf numFmtId="0" fontId="184" fillId="0" borderId="89" xfId="0" applyFont="1" applyBorder="1" applyAlignment="1">
      <alignment horizontal="left"/>
    </xf>
    <xf numFmtId="38" fontId="184" fillId="0" borderId="89" xfId="850" applyFont="1" applyBorder="1" applyAlignment="1"/>
    <xf numFmtId="0" fontId="184" fillId="0" borderId="54" xfId="829" applyFont="1" applyBorder="1" applyAlignment="1">
      <alignment horizontal="left"/>
    </xf>
    <xf numFmtId="0" fontId="184" fillId="0" borderId="89" xfId="829" applyFont="1" applyBorder="1" applyAlignment="1">
      <alignment wrapText="1"/>
    </xf>
    <xf numFmtId="0" fontId="192" fillId="0" borderId="94" xfId="829" applyFont="1" applyBorder="1" applyAlignment="1">
      <alignment horizontal="left" vertical="center"/>
    </xf>
    <xf numFmtId="0" fontId="192" fillId="0" borderId="54" xfId="829" applyFont="1" applyBorder="1"/>
    <xf numFmtId="0" fontId="186" fillId="0" borderId="0" xfId="829" applyFont="1"/>
    <xf numFmtId="0" fontId="186" fillId="0" borderId="9" xfId="829" applyFont="1" applyBorder="1" applyAlignment="1">
      <alignment wrapText="1"/>
    </xf>
    <xf numFmtId="0" fontId="186" fillId="0" borderId="3" xfId="829" applyFont="1" applyBorder="1" applyAlignment="1">
      <alignment horizontal="right"/>
    </xf>
    <xf numFmtId="0" fontId="186" fillId="0" borderId="3" xfId="829" applyFont="1" applyBorder="1"/>
    <xf numFmtId="0" fontId="186" fillId="0" borderId="3" xfId="829" applyFont="1" applyBorder="1" applyAlignment="1">
      <alignment wrapText="1"/>
    </xf>
    <xf numFmtId="0" fontId="184" fillId="0" borderId="0" xfId="4" applyFont="1"/>
    <xf numFmtId="0" fontId="211" fillId="0" borderId="0" xfId="4" applyFont="1" applyAlignment="1">
      <alignment horizontal="center" vertical="center"/>
    </xf>
    <xf numFmtId="0" fontId="184" fillId="0" borderId="0" xfId="4" applyFont="1" applyAlignment="1">
      <alignment horizontal="center" vertical="center"/>
    </xf>
    <xf numFmtId="177" fontId="184" fillId="0" borderId="0" xfId="4" applyNumberFormat="1" applyFont="1" applyAlignment="1">
      <alignment horizontal="center" vertical="center"/>
    </xf>
    <xf numFmtId="0" fontId="212" fillId="0" borderId="87" xfId="4" applyFont="1" applyBorder="1" applyAlignment="1">
      <alignment horizontal="center" vertical="center" wrapText="1"/>
    </xf>
    <xf numFmtId="0" fontId="212" fillId="0" borderId="87" xfId="4" applyFont="1" applyBorder="1" applyAlignment="1">
      <alignment horizontal="center" vertical="center"/>
    </xf>
    <xf numFmtId="0" fontId="184" fillId="0" borderId="97" xfId="5" applyFont="1" applyBorder="1" applyAlignment="1">
      <alignment horizontal="left" vertical="center"/>
    </xf>
    <xf numFmtId="183" fontId="184" fillId="0" borderId="84" xfId="6" applyNumberFormat="1" applyFont="1" applyBorder="1" applyAlignment="1">
      <alignment horizontal="center" vertical="center"/>
    </xf>
    <xf numFmtId="0" fontId="192" fillId="0" borderId="84" xfId="5" applyFont="1" applyBorder="1" applyAlignment="1">
      <alignment horizontal="center" vertical="center" wrapText="1"/>
    </xf>
    <xf numFmtId="0" fontId="184" fillId="0" borderId="143" xfId="6" applyFont="1" applyBorder="1">
      <alignment vertical="center"/>
    </xf>
    <xf numFmtId="0" fontId="184" fillId="0" borderId="23" xfId="5" applyFont="1" applyBorder="1">
      <alignment vertical="center"/>
    </xf>
    <xf numFmtId="0" fontId="192" fillId="0" borderId="12" xfId="0" applyFont="1" applyBorder="1"/>
    <xf numFmtId="0" fontId="186" fillId="0" borderId="12" xfId="0" applyFont="1" applyBorder="1"/>
    <xf numFmtId="0" fontId="184" fillId="81" borderId="92" xfId="0" applyFont="1" applyFill="1" applyBorder="1" applyAlignment="1">
      <alignment horizontal="center" vertical="center"/>
    </xf>
    <xf numFmtId="0" fontId="184" fillId="0" borderId="92" xfId="0" applyFont="1" applyBorder="1" applyAlignment="1">
      <alignment horizontal="center" vertical="center"/>
    </xf>
    <xf numFmtId="0" fontId="184" fillId="0" borderId="92" xfId="4" applyFont="1" applyBorder="1" applyAlignment="1">
      <alignment horizontal="center" vertical="center"/>
    </xf>
    <xf numFmtId="0" fontId="184" fillId="0" borderId="144" xfId="5" applyFont="1" applyBorder="1" applyAlignment="1">
      <alignment horizontal="left" vertical="center"/>
    </xf>
    <xf numFmtId="38" fontId="184" fillId="82" borderId="2" xfId="850" applyFont="1" applyFill="1" applyBorder="1" applyAlignment="1">
      <alignment horizontal="center" vertical="center"/>
    </xf>
    <xf numFmtId="0" fontId="192" fillId="0" borderId="2" xfId="5" applyFont="1" applyBorder="1" applyAlignment="1">
      <alignment horizontal="center" vertical="center" wrapText="1"/>
    </xf>
    <xf numFmtId="0" fontId="184" fillId="0" borderId="145" xfId="6" applyFont="1" applyBorder="1">
      <alignment vertical="center"/>
    </xf>
    <xf numFmtId="0" fontId="186" fillId="0" borderId="0" xfId="0" applyFont="1" applyAlignment="1">
      <alignment horizontal="right"/>
    </xf>
    <xf numFmtId="0" fontId="184" fillId="0" borderId="23" xfId="5" applyFont="1" applyBorder="1" applyAlignment="1">
      <alignment vertical="center" wrapText="1"/>
    </xf>
    <xf numFmtId="268" fontId="184" fillId="82" borderId="84" xfId="850" applyNumberFormat="1" applyFont="1" applyFill="1" applyBorder="1">
      <alignment vertical="center"/>
    </xf>
    <xf numFmtId="179" fontId="184" fillId="0" borderId="34" xfId="6" applyNumberFormat="1" applyFont="1" applyBorder="1">
      <alignment vertical="center"/>
    </xf>
    <xf numFmtId="0" fontId="186" fillId="0" borderId="34" xfId="0" applyFont="1" applyBorder="1"/>
    <xf numFmtId="0" fontId="203" fillId="87" borderId="8" xfId="4" applyFont="1" applyFill="1" applyBorder="1"/>
    <xf numFmtId="270" fontId="184" fillId="87" borderId="2" xfId="0" applyNumberFormat="1" applyFont="1" applyFill="1" applyBorder="1"/>
    <xf numFmtId="0" fontId="184" fillId="0" borderId="137" xfId="5" applyFont="1" applyBorder="1" applyAlignment="1">
      <alignment horizontal="left" vertical="center"/>
    </xf>
    <xf numFmtId="183" fontId="184" fillId="0" borderId="4" xfId="6" applyNumberFormat="1" applyFont="1" applyBorder="1" applyAlignment="1">
      <alignment horizontal="centerContinuous" vertical="center"/>
    </xf>
    <xf numFmtId="0" fontId="192" fillId="0" borderId="4" xfId="5" applyFont="1" applyBorder="1" applyAlignment="1">
      <alignment horizontal="center" vertical="center" wrapText="1"/>
    </xf>
    <xf numFmtId="0" fontId="184" fillId="0" borderId="146" xfId="6" applyFont="1" applyBorder="1">
      <alignment vertical="center"/>
    </xf>
    <xf numFmtId="0" fontId="184" fillId="0" borderId="85" xfId="4" applyFont="1" applyBorder="1"/>
    <xf numFmtId="38" fontId="184" fillId="0" borderId="54" xfId="850" applyFont="1" applyFill="1" applyBorder="1">
      <alignment vertical="center"/>
    </xf>
    <xf numFmtId="179" fontId="184" fillId="0" borderId="1" xfId="6" applyNumberFormat="1" applyFont="1" applyBorder="1">
      <alignment vertical="center"/>
    </xf>
    <xf numFmtId="0" fontId="186" fillId="0" borderId="1" xfId="0" applyFont="1" applyBorder="1"/>
    <xf numFmtId="0" fontId="203" fillId="0" borderId="116" xfId="7" applyFont="1" applyBorder="1">
      <alignment vertical="center"/>
    </xf>
    <xf numFmtId="270" fontId="184" fillId="0" borderId="94" xfId="0" applyNumberFormat="1" applyFont="1" applyBorder="1"/>
    <xf numFmtId="185" fontId="184" fillId="0" borderId="94" xfId="0" applyNumberFormat="1" applyFont="1" applyBorder="1"/>
    <xf numFmtId="270" fontId="184" fillId="0" borderId="94" xfId="4" applyNumberFormat="1" applyFont="1" applyBorder="1"/>
    <xf numFmtId="0" fontId="184" fillId="0" borderId="144" xfId="5" applyFont="1" applyBorder="1">
      <alignment vertical="center"/>
    </xf>
    <xf numFmtId="183" fontId="184" fillId="82" borderId="2" xfId="851" applyNumberFormat="1" applyFont="1" applyFill="1" applyBorder="1" applyAlignment="1">
      <alignment horizontal="center" vertical="center"/>
    </xf>
    <xf numFmtId="0" fontId="192" fillId="0" borderId="145" xfId="6" applyFont="1" applyBorder="1" applyAlignment="1">
      <alignment horizontal="center" vertical="center"/>
    </xf>
    <xf numFmtId="0" fontId="184" fillId="0" borderId="85" xfId="5" applyFont="1" applyBorder="1" applyAlignment="1">
      <alignment vertical="center" wrapText="1"/>
    </xf>
    <xf numFmtId="268" fontId="184" fillId="82" borderId="54" xfId="850" applyNumberFormat="1" applyFont="1" applyFill="1" applyBorder="1">
      <alignment vertical="center"/>
    </xf>
    <xf numFmtId="0" fontId="203" fillId="0" borderId="117" xfId="7" applyFont="1" applyBorder="1" applyAlignment="1">
      <alignment vertical="center" wrapText="1"/>
    </xf>
    <xf numFmtId="270" fontId="184" fillId="0" borderId="54" xfId="0" applyNumberFormat="1" applyFont="1" applyBorder="1"/>
    <xf numFmtId="270" fontId="184" fillId="0" borderId="54" xfId="4" applyNumberFormat="1" applyFont="1" applyBorder="1"/>
    <xf numFmtId="0" fontId="192" fillId="0" borderId="102" xfId="4" applyFont="1" applyBorder="1" applyAlignment="1">
      <alignment horizontal="center" wrapText="1"/>
    </xf>
    <xf numFmtId="0" fontId="184" fillId="0" borderId="85" xfId="4" applyFont="1" applyBorder="1" applyAlignment="1">
      <alignment horizontal="left" vertical="center"/>
    </xf>
    <xf numFmtId="268" fontId="184" fillId="0" borderId="54" xfId="850" applyNumberFormat="1" applyFont="1" applyFill="1" applyBorder="1">
      <alignment vertical="center"/>
    </xf>
    <xf numFmtId="0" fontId="203" fillId="0" borderId="3" xfId="7" applyFont="1" applyBorder="1" applyAlignment="1">
      <alignment horizontal="left" vertical="center" wrapText="1"/>
    </xf>
    <xf numFmtId="270" fontId="184" fillId="0" borderId="4" xfId="0" applyNumberFormat="1" applyFont="1" applyBorder="1"/>
    <xf numFmtId="270" fontId="184" fillId="0" borderId="4" xfId="4" applyNumberFormat="1" applyFont="1" applyBorder="1"/>
    <xf numFmtId="0" fontId="184" fillId="0" borderId="23" xfId="5" applyFont="1" applyBorder="1" applyProtection="1">
      <alignment vertical="center"/>
      <protection locked="0"/>
    </xf>
    <xf numFmtId="0" fontId="184" fillId="0" borderId="84" xfId="5" applyFont="1" applyBorder="1" applyAlignment="1" applyProtection="1">
      <alignment horizontal="center" vertical="center"/>
      <protection locked="0"/>
    </xf>
    <xf numFmtId="0" fontId="192" fillId="0" borderId="84" xfId="5" applyFont="1" applyBorder="1" applyAlignment="1" applyProtection="1">
      <alignment horizontal="center" vertical="center" wrapText="1"/>
      <protection locked="0"/>
    </xf>
    <xf numFmtId="0" fontId="185" fillId="0" borderId="24" xfId="6" applyFont="1" applyBorder="1" applyAlignment="1" applyProtection="1">
      <alignment horizontal="center" vertical="center"/>
      <protection locked="0"/>
    </xf>
    <xf numFmtId="0" fontId="192" fillId="82" borderId="102" xfId="0" applyFont="1" applyFill="1" applyBorder="1"/>
    <xf numFmtId="179" fontId="184" fillId="0" borderId="81" xfId="6" applyNumberFormat="1" applyFont="1" applyBorder="1">
      <alignment vertical="center"/>
    </xf>
    <xf numFmtId="0" fontId="186" fillId="0" borderId="81" xfId="0" applyFont="1" applyBorder="1"/>
    <xf numFmtId="185" fontId="184" fillId="81" borderId="87" xfId="7" applyNumberFormat="1" applyFont="1" applyFill="1" applyBorder="1" applyAlignment="1" applyProtection="1">
      <alignment horizontal="center" vertical="center" wrapText="1"/>
      <protection locked="0"/>
    </xf>
    <xf numFmtId="0" fontId="192" fillId="0" borderId="87" xfId="8" applyFont="1" applyBorder="1" applyAlignment="1" applyProtection="1">
      <alignment horizontal="center" vertical="center"/>
      <protection locked="0"/>
    </xf>
    <xf numFmtId="0" fontId="185" fillId="0" borderId="88" xfId="4" applyFont="1" applyBorder="1" applyAlignment="1" applyProtection="1">
      <alignment horizontal="center"/>
      <protection locked="0"/>
    </xf>
    <xf numFmtId="0" fontId="184" fillId="0" borderId="13" xfId="0" applyFont="1" applyBorder="1"/>
    <xf numFmtId="271" fontId="184" fillId="0" borderId="95" xfId="850" applyNumberFormat="1" applyFont="1" applyBorder="1" applyAlignment="1" applyProtection="1">
      <alignment horizontal="center" vertical="center"/>
      <protection locked="0"/>
    </xf>
    <xf numFmtId="0" fontId="192" fillId="0" borderId="95" xfId="8" applyFont="1" applyBorder="1" applyAlignment="1" applyProtection="1">
      <alignment horizontal="center" vertical="center"/>
      <protection locked="0"/>
    </xf>
    <xf numFmtId="0" fontId="185" fillId="0" borderId="96" xfId="4" applyFont="1" applyBorder="1" applyAlignment="1" applyProtection="1">
      <alignment horizontal="center"/>
      <protection locked="0"/>
    </xf>
    <xf numFmtId="0" fontId="184" fillId="0" borderId="13" xfId="5" applyFont="1" applyBorder="1" applyAlignment="1">
      <alignment horizontal="left" vertical="center"/>
    </xf>
    <xf numFmtId="179" fontId="184" fillId="0" borderId="4" xfId="6" applyNumberFormat="1" applyFont="1" applyBorder="1" applyAlignment="1">
      <alignment horizontal="right" vertical="center"/>
    </xf>
    <xf numFmtId="179" fontId="181" fillId="0" borderId="0" xfId="6" applyNumberFormat="1" applyFont="1" applyAlignment="1">
      <alignment horizontal="left"/>
    </xf>
    <xf numFmtId="38" fontId="181" fillId="0" borderId="0" xfId="850" applyFont="1" applyBorder="1" applyAlignment="1">
      <alignment vertical="center"/>
    </xf>
    <xf numFmtId="0" fontId="184" fillId="0" borderId="104" xfId="5" applyFont="1" applyBorder="1">
      <alignment vertical="center"/>
    </xf>
    <xf numFmtId="183" fontId="184" fillId="0" borderId="105" xfId="6" applyNumberFormat="1" applyFont="1" applyBorder="1" applyAlignment="1">
      <alignment horizontal="center" vertical="center"/>
    </xf>
    <xf numFmtId="179" fontId="192" fillId="0" borderId="105" xfId="6" applyNumberFormat="1" applyFont="1" applyBorder="1" applyAlignment="1">
      <alignment horizontal="center" vertical="center"/>
    </xf>
    <xf numFmtId="0" fontId="185" fillId="0" borderId="106" xfId="6" applyFont="1" applyBorder="1" applyAlignment="1">
      <alignment horizontal="center" vertical="center"/>
    </xf>
    <xf numFmtId="0" fontId="192" fillId="0" borderId="22" xfId="5" applyFont="1" applyBorder="1" applyAlignment="1">
      <alignment horizontal="left" vertical="center"/>
    </xf>
    <xf numFmtId="179" fontId="184" fillId="0" borderId="7" xfId="6" applyNumberFormat="1" applyFont="1" applyBorder="1" applyAlignment="1">
      <alignment horizontal="right" vertical="center"/>
    </xf>
    <xf numFmtId="179" fontId="181" fillId="0" borderId="78" xfId="6" applyNumberFormat="1" applyFont="1" applyBorder="1" applyAlignment="1">
      <alignment horizontal="left"/>
    </xf>
    <xf numFmtId="38" fontId="181" fillId="0" borderId="78" xfId="850" applyFont="1" applyBorder="1" applyAlignment="1">
      <alignment vertical="center"/>
    </xf>
    <xf numFmtId="270" fontId="211" fillId="86" borderId="4" xfId="6" applyNumberFormat="1" applyFont="1" applyFill="1" applyBorder="1" applyAlignment="1">
      <alignment horizontal="center" vertical="center"/>
    </xf>
    <xf numFmtId="0" fontId="192" fillId="0" borderId="4" xfId="6" applyFont="1" applyBorder="1" applyAlignment="1">
      <alignment horizontal="center" vertical="center"/>
    </xf>
    <xf numFmtId="0" fontId="185" fillId="0" borderId="15" xfId="4" applyFont="1" applyBorder="1" applyAlignment="1">
      <alignment horizontal="center"/>
    </xf>
    <xf numFmtId="0" fontId="192" fillId="0" borderId="85" xfId="5" applyFont="1" applyBorder="1" applyAlignment="1">
      <alignment horizontal="left" vertical="center"/>
    </xf>
    <xf numFmtId="179" fontId="184" fillId="0" borderId="54" xfId="6" applyNumberFormat="1" applyFont="1" applyBorder="1" applyAlignment="1">
      <alignment horizontal="right" vertical="center"/>
    </xf>
    <xf numFmtId="179" fontId="181" fillId="0" borderId="1" xfId="6" applyNumberFormat="1" applyFont="1" applyBorder="1" applyAlignment="1">
      <alignment horizontal="left"/>
    </xf>
    <xf numFmtId="38" fontId="181" fillId="0" borderId="1" xfId="850" applyFont="1" applyBorder="1" applyAlignment="1">
      <alignment vertical="center"/>
    </xf>
    <xf numFmtId="180" fontId="203" fillId="0" borderId="95" xfId="6" applyNumberFormat="1" applyFont="1" applyBorder="1" applyAlignment="1">
      <alignment horizontal="center" vertical="center"/>
    </xf>
    <xf numFmtId="0" fontId="197" fillId="0" borderId="95" xfId="6" applyFont="1" applyBorder="1" applyAlignment="1">
      <alignment horizontal="center" vertical="center"/>
    </xf>
    <xf numFmtId="0" fontId="185" fillId="0" borderId="96" xfId="6" applyFont="1" applyBorder="1" applyAlignment="1">
      <alignment horizontal="center" vertical="center"/>
    </xf>
    <xf numFmtId="0" fontId="192" fillId="0" borderId="21" xfId="5" applyFont="1" applyBorder="1" applyAlignment="1">
      <alignment horizontal="left" vertical="center"/>
    </xf>
    <xf numFmtId="179" fontId="184" fillId="0" borderId="6" xfId="6" applyNumberFormat="1" applyFont="1" applyBorder="1" applyAlignment="1">
      <alignment horizontal="right" vertical="center"/>
    </xf>
    <xf numFmtId="179" fontId="181" fillId="0" borderId="14" xfId="6" applyNumberFormat="1" applyFont="1" applyBorder="1" applyAlignment="1">
      <alignment horizontal="left"/>
    </xf>
    <xf numFmtId="38" fontId="181" fillId="0" borderId="14" xfId="850" applyFont="1" applyBorder="1" applyAlignment="1">
      <alignment vertical="center"/>
    </xf>
    <xf numFmtId="270" fontId="184" fillId="0" borderId="94" xfId="4" applyNumberFormat="1" applyFont="1" applyBorder="1" applyAlignment="1">
      <alignment vertical="center"/>
    </xf>
    <xf numFmtId="0" fontId="192" fillId="0" borderId="101" xfId="5" applyFont="1" applyBorder="1" applyAlignment="1">
      <alignment horizontal="left" vertical="center"/>
    </xf>
    <xf numFmtId="179" fontId="184" fillId="0" borderId="102" xfId="6" applyNumberFormat="1" applyFont="1" applyBorder="1" applyAlignment="1">
      <alignment horizontal="right" vertical="center"/>
    </xf>
    <xf numFmtId="179" fontId="181" fillId="0" borderId="81" xfId="6" applyNumberFormat="1" applyFont="1" applyBorder="1" applyAlignment="1">
      <alignment horizontal="left"/>
    </xf>
    <xf numFmtId="38" fontId="181" fillId="0" borderId="81" xfId="850" applyFont="1" applyBorder="1" applyAlignment="1">
      <alignment vertical="center"/>
    </xf>
    <xf numFmtId="270" fontId="184" fillId="0" borderId="92" xfId="4" applyNumberFormat="1" applyFont="1" applyBorder="1" applyAlignment="1">
      <alignment vertical="center"/>
    </xf>
    <xf numFmtId="0" fontId="184" fillId="0" borderId="140" xfId="4" applyFont="1" applyBorder="1" applyAlignment="1">
      <alignment vertical="center"/>
    </xf>
    <xf numFmtId="185" fontId="184" fillId="0" borderId="141" xfId="4" applyNumberFormat="1" applyFont="1" applyBorder="1" applyAlignment="1">
      <alignment horizontal="center" vertical="center"/>
    </xf>
    <xf numFmtId="0" fontId="213" fillId="0" borderId="88" xfId="4" applyFont="1" applyBorder="1" applyAlignment="1">
      <alignment horizontal="center"/>
    </xf>
    <xf numFmtId="0" fontId="192" fillId="0" borderId="101" xfId="0" applyFont="1" applyBorder="1" applyAlignment="1">
      <alignment horizontal="center"/>
    </xf>
    <xf numFmtId="179" fontId="192" fillId="0" borderId="102" xfId="0" applyNumberFormat="1" applyFont="1" applyBorder="1"/>
    <xf numFmtId="0" fontId="213" fillId="0" borderId="81" xfId="0" applyFont="1" applyBorder="1"/>
    <xf numFmtId="270" fontId="184" fillId="87" borderId="2" xfId="4" applyNumberFormat="1" applyFont="1" applyFill="1" applyBorder="1" applyAlignment="1">
      <alignment vertical="center"/>
    </xf>
    <xf numFmtId="38" fontId="184" fillId="0" borderId="94" xfId="850" applyFont="1" applyFill="1" applyBorder="1" applyAlignment="1">
      <alignment horizontal="center" vertical="center"/>
    </xf>
    <xf numFmtId="179" fontId="192" fillId="0" borderId="94" xfId="6" applyNumberFormat="1" applyFont="1" applyBorder="1" applyAlignment="1">
      <alignment horizontal="center" vertical="center"/>
    </xf>
    <xf numFmtId="270" fontId="184" fillId="87" borderId="87" xfId="4" applyNumberFormat="1" applyFont="1" applyFill="1" applyBorder="1" applyAlignment="1">
      <alignment vertical="center"/>
    </xf>
    <xf numFmtId="38" fontId="184" fillId="0" borderId="54" xfId="850" applyFont="1" applyFill="1" applyBorder="1" applyAlignment="1">
      <alignment horizontal="center" vertical="center"/>
    </xf>
    <xf numFmtId="179" fontId="192" fillId="0" borderId="54" xfId="6" applyNumberFormat="1" applyFont="1" applyBorder="1" applyAlignment="1">
      <alignment horizontal="center" vertical="center"/>
    </xf>
    <xf numFmtId="0" fontId="189" fillId="79" borderId="34" xfId="0" applyFont="1" applyFill="1" applyBorder="1" applyAlignment="1">
      <alignment horizontal="center"/>
    </xf>
    <xf numFmtId="270" fontId="215" fillId="0" borderId="4" xfId="4" applyNumberFormat="1" applyFont="1" applyBorder="1" applyAlignment="1">
      <alignment vertical="center"/>
    </xf>
    <xf numFmtId="270" fontId="215" fillId="0" borderId="89" xfId="4" applyNumberFormat="1" applyFont="1" applyBorder="1" applyAlignment="1">
      <alignment vertical="center"/>
    </xf>
    <xf numFmtId="0" fontId="184" fillId="0" borderId="142" xfId="4" applyFont="1" applyBorder="1" applyAlignment="1">
      <alignment vertical="center"/>
    </xf>
    <xf numFmtId="9" fontId="184" fillId="90" borderId="89" xfId="851" applyFont="1" applyFill="1" applyBorder="1" applyAlignment="1">
      <alignment horizontal="center" vertical="center"/>
    </xf>
    <xf numFmtId="185" fontId="184" fillId="87" borderId="2" xfId="4" applyNumberFormat="1" applyFont="1" applyFill="1" applyBorder="1" applyAlignment="1">
      <alignment vertical="center"/>
    </xf>
    <xf numFmtId="270" fontId="184" fillId="87" borderId="54" xfId="4" applyNumberFormat="1" applyFont="1" applyFill="1" applyBorder="1" applyAlignment="1">
      <alignment vertical="center"/>
    </xf>
    <xf numFmtId="0" fontId="184" fillId="0" borderId="13" xfId="5" applyFont="1" applyBorder="1">
      <alignment vertical="center"/>
    </xf>
    <xf numFmtId="0" fontId="184" fillId="0" borderId="4" xfId="5" applyFont="1" applyBorder="1">
      <alignment vertical="center"/>
    </xf>
    <xf numFmtId="0" fontId="184" fillId="0" borderId="108" xfId="5" applyFont="1" applyBorder="1" applyAlignment="1">
      <alignment horizontal="center" vertical="center" wrapText="1"/>
    </xf>
    <xf numFmtId="0" fontId="184" fillId="0" borderId="157" xfId="6" applyFont="1" applyBorder="1">
      <alignment vertical="center"/>
    </xf>
    <xf numFmtId="0" fontId="184" fillId="0" borderId="123" xfId="7" applyFont="1" applyBorder="1">
      <alignment vertical="center"/>
    </xf>
    <xf numFmtId="0" fontId="184" fillId="0" borderId="2" xfId="8" applyFont="1" applyBorder="1" applyAlignment="1">
      <alignment horizontal="center" vertical="center" wrapText="1"/>
    </xf>
    <xf numFmtId="270" fontId="184" fillId="0" borderId="2" xfId="4" applyNumberFormat="1" applyFont="1" applyBorder="1" applyAlignment="1">
      <alignment vertical="center"/>
    </xf>
    <xf numFmtId="185" fontId="184" fillId="0" borderId="2" xfId="4" applyNumberFormat="1" applyFont="1" applyBorder="1" applyAlignment="1">
      <alignment vertical="center"/>
    </xf>
    <xf numFmtId="270" fontId="184" fillId="0" borderId="54" xfId="4" applyNumberFormat="1" applyFont="1" applyBorder="1" applyAlignment="1">
      <alignment vertical="center"/>
    </xf>
    <xf numFmtId="0" fontId="184" fillId="0" borderId="65" xfId="5" applyFont="1" applyBorder="1">
      <alignment vertical="center"/>
    </xf>
    <xf numFmtId="0" fontId="213" fillId="0" borderId="125" xfId="7" applyFont="1" applyBorder="1" applyAlignment="1">
      <alignment vertical="center" wrapText="1"/>
    </xf>
    <xf numFmtId="38" fontId="184" fillId="0" borderId="4" xfId="850" applyFont="1" applyBorder="1" applyAlignment="1">
      <alignment horizontal="center" vertical="center"/>
    </xf>
    <xf numFmtId="270" fontId="184" fillId="87" borderId="6" xfId="4" applyNumberFormat="1" applyFont="1" applyFill="1" applyBorder="1" applyAlignment="1">
      <alignment vertical="center"/>
    </xf>
    <xf numFmtId="0" fontId="184" fillId="0" borderId="91" xfId="5" applyFont="1" applyBorder="1">
      <alignment vertical="center"/>
    </xf>
    <xf numFmtId="183" fontId="184" fillId="81" borderId="92" xfId="5" applyNumberFormat="1" applyFont="1" applyFill="1" applyBorder="1">
      <alignment vertical="center"/>
    </xf>
    <xf numFmtId="0" fontId="184" fillId="0" borderId="92" xfId="5" applyFont="1" applyBorder="1" applyAlignment="1">
      <alignment horizontal="center" vertical="center" wrapText="1"/>
    </xf>
    <xf numFmtId="0" fontId="184" fillId="0" borderId="93" xfId="6" applyFont="1" applyBorder="1">
      <alignment vertical="center"/>
    </xf>
    <xf numFmtId="0" fontId="210" fillId="0" borderId="126" xfId="7" applyFont="1" applyBorder="1" applyAlignment="1">
      <alignment vertical="center" wrapText="1"/>
    </xf>
    <xf numFmtId="38" fontId="184" fillId="0" borderId="87" xfId="850" applyFont="1" applyBorder="1" applyAlignment="1">
      <alignment horizontal="center" vertical="center"/>
    </xf>
    <xf numFmtId="0" fontId="184" fillId="0" borderId="158" xfId="5" applyFont="1" applyBorder="1">
      <alignment vertical="center"/>
    </xf>
    <xf numFmtId="183" fontId="184" fillId="0" borderId="87" xfId="5" applyNumberFormat="1" applyFont="1" applyBorder="1">
      <alignment vertical="center"/>
    </xf>
    <xf numFmtId="183" fontId="184" fillId="0" borderId="87" xfId="5" applyNumberFormat="1" applyFont="1" applyBorder="1" applyAlignment="1">
      <alignment horizontal="center" vertical="center" wrapText="1"/>
    </xf>
    <xf numFmtId="0" fontId="213" fillId="0" borderId="88" xfId="6" applyFont="1" applyBorder="1">
      <alignment vertical="center"/>
    </xf>
    <xf numFmtId="0" fontId="210" fillId="0" borderId="127" xfId="7" applyFont="1" applyBorder="1" applyAlignment="1">
      <alignment vertical="center" wrapText="1"/>
    </xf>
    <xf numFmtId="38" fontId="184" fillId="0" borderId="92" xfId="850" applyFont="1" applyBorder="1" applyAlignment="1">
      <alignment horizontal="center" vertical="center"/>
    </xf>
    <xf numFmtId="0" fontId="203" fillId="0" borderId="0" xfId="4" applyFont="1"/>
    <xf numFmtId="0" fontId="192" fillId="0" borderId="85" xfId="5" applyFont="1" applyBorder="1">
      <alignment vertical="center"/>
    </xf>
    <xf numFmtId="183" fontId="184" fillId="81" borderId="54" xfId="5" applyNumberFormat="1" applyFont="1" applyFill="1" applyBorder="1">
      <alignment vertical="center"/>
    </xf>
    <xf numFmtId="0" fontId="184" fillId="0" borderId="54" xfId="5" applyFont="1" applyBorder="1" applyAlignment="1">
      <alignment horizontal="center" vertical="center" wrapText="1"/>
    </xf>
    <xf numFmtId="0" fontId="184" fillId="0" borderId="86" xfId="6" applyFont="1" applyBorder="1">
      <alignment vertical="center"/>
    </xf>
    <xf numFmtId="0" fontId="184" fillId="0" borderId="123" xfId="5" applyFont="1" applyBorder="1" applyAlignment="1">
      <alignment horizontal="center" vertical="center"/>
    </xf>
    <xf numFmtId="270" fontId="185" fillId="0" borderId="2" xfId="8" applyNumberFormat="1" applyFont="1" applyBorder="1" applyAlignment="1">
      <alignment horizontal="center" vertical="center"/>
    </xf>
    <xf numFmtId="177" fontId="184" fillId="86" borderId="87" xfId="4" applyNumberFormat="1" applyFont="1" applyFill="1" applyBorder="1" applyAlignment="1">
      <alignment horizontal="center"/>
    </xf>
    <xf numFmtId="0" fontId="186" fillId="0" borderId="87" xfId="0" applyFont="1" applyBorder="1" applyAlignment="1">
      <alignment horizontal="center"/>
    </xf>
    <xf numFmtId="0" fontId="192" fillId="0" borderId="91" xfId="5" applyFont="1" applyBorder="1">
      <alignment vertical="center"/>
    </xf>
    <xf numFmtId="0" fontId="184" fillId="0" borderId="129" xfId="5" applyFont="1" applyBorder="1" applyAlignment="1">
      <alignment horizontal="left" vertical="center"/>
    </xf>
    <xf numFmtId="270" fontId="184" fillId="0" borderId="2" xfId="6" applyNumberFormat="1" applyFont="1" applyBorder="1" applyAlignment="1">
      <alignment horizontal="center" vertical="center"/>
    </xf>
    <xf numFmtId="177" fontId="192" fillId="81" borderId="130" xfId="851" applyNumberFormat="1" applyFont="1" applyFill="1" applyBorder="1" applyAlignment="1">
      <alignment horizontal="center" vertical="center"/>
    </xf>
    <xf numFmtId="177" fontId="184" fillId="86" borderId="54" xfId="4" applyNumberFormat="1" applyFont="1" applyFill="1" applyBorder="1" applyAlignment="1">
      <alignment horizontal="center"/>
    </xf>
    <xf numFmtId="0" fontId="186" fillId="0" borderId="54" xfId="0" applyFont="1" applyBorder="1" applyAlignment="1">
      <alignment horizontal="center"/>
    </xf>
    <xf numFmtId="0" fontId="192" fillId="0" borderId="17" xfId="5" applyFont="1" applyBorder="1">
      <alignment vertical="center"/>
    </xf>
    <xf numFmtId="183" fontId="184" fillId="0" borderId="2" xfId="5" applyNumberFormat="1" applyFont="1" applyBorder="1">
      <alignment vertical="center"/>
    </xf>
    <xf numFmtId="0" fontId="184" fillId="0" borderId="2" xfId="5" applyFont="1" applyBorder="1" applyAlignment="1">
      <alignment horizontal="center" vertical="center" wrapText="1"/>
    </xf>
    <xf numFmtId="0" fontId="184" fillId="0" borderId="18" xfId="6" applyFont="1" applyBorder="1">
      <alignment vertical="center"/>
    </xf>
    <xf numFmtId="0" fontId="192" fillId="89" borderId="17" xfId="5" applyFont="1" applyFill="1" applyBorder="1">
      <alignment vertical="center"/>
    </xf>
    <xf numFmtId="183" fontId="184" fillId="89" borderId="2" xfId="5" applyNumberFormat="1" applyFont="1" applyFill="1" applyBorder="1">
      <alignment vertical="center"/>
    </xf>
    <xf numFmtId="177" fontId="192" fillId="81" borderId="175" xfId="851" applyNumberFormat="1" applyFont="1" applyFill="1" applyBorder="1" applyAlignment="1">
      <alignment horizontal="center" vertical="center"/>
    </xf>
    <xf numFmtId="0" fontId="192" fillId="0" borderId="21" xfId="5" applyFont="1" applyBorder="1" applyAlignment="1">
      <alignment horizontal="center" vertical="center"/>
    </xf>
    <xf numFmtId="183" fontId="184" fillId="0" borderId="6" xfId="5" applyNumberFormat="1" applyFont="1" applyBorder="1">
      <alignment vertical="center"/>
    </xf>
    <xf numFmtId="0" fontId="184" fillId="0" borderId="94" xfId="4" applyFont="1" applyBorder="1" applyAlignment="1">
      <alignment horizontal="center"/>
    </xf>
    <xf numFmtId="9" fontId="184" fillId="86" borderId="136" xfId="5" applyNumberFormat="1" applyFont="1" applyFill="1" applyBorder="1" applyAlignment="1">
      <alignment horizontal="center" vertical="center" wrapText="1"/>
    </xf>
    <xf numFmtId="0" fontId="184" fillId="0" borderId="134" xfId="5" applyFont="1" applyBorder="1" applyAlignment="1">
      <alignment horizontal="left" vertical="center"/>
    </xf>
    <xf numFmtId="270" fontId="184" fillId="0" borderId="4" xfId="6" applyNumberFormat="1" applyFont="1" applyBorder="1" applyAlignment="1">
      <alignment horizontal="center" vertical="center"/>
    </xf>
    <xf numFmtId="9" fontId="184" fillId="86" borderId="89" xfId="4" applyNumberFormat="1" applyFont="1" applyFill="1" applyBorder="1" applyAlignment="1">
      <alignment horizontal="center"/>
    </xf>
    <xf numFmtId="0" fontId="186" fillId="0" borderId="89" xfId="0" applyFont="1" applyBorder="1" applyAlignment="1">
      <alignment horizontal="center"/>
    </xf>
    <xf numFmtId="0" fontId="192" fillId="89" borderId="17" xfId="5" applyFont="1" applyFill="1" applyBorder="1" applyAlignment="1">
      <alignment horizontal="center" vertical="center"/>
    </xf>
    <xf numFmtId="0" fontId="184" fillId="0" borderId="152" xfId="5" applyFont="1" applyBorder="1" applyAlignment="1">
      <alignment horizontal="center" vertical="center"/>
    </xf>
    <xf numFmtId="270" fontId="184" fillId="0" borderId="153" xfId="7" applyNumberFormat="1" applyFont="1" applyBorder="1" applyAlignment="1">
      <alignment horizontal="center" vertical="center" wrapText="1"/>
    </xf>
    <xf numFmtId="0" fontId="184" fillId="0" borderId="154" xfId="4" applyFont="1" applyBorder="1"/>
    <xf numFmtId="268" fontId="184" fillId="0" borderId="156" xfId="850" applyNumberFormat="1" applyFont="1" applyBorder="1">
      <alignment vertical="center"/>
    </xf>
    <xf numFmtId="0" fontId="203" fillId="0" borderId="6" xfId="4" applyFont="1" applyBorder="1"/>
    <xf numFmtId="9" fontId="184" fillId="86" borderId="6" xfId="4" applyNumberFormat="1" applyFont="1" applyFill="1" applyBorder="1" applyAlignment="1">
      <alignment horizontal="center"/>
    </xf>
    <xf numFmtId="0" fontId="186" fillId="0" borderId="94" xfId="0" applyFont="1" applyBorder="1" applyAlignment="1">
      <alignment horizontal="center"/>
    </xf>
    <xf numFmtId="0" fontId="184" fillId="0" borderId="99" xfId="4" applyFont="1" applyBorder="1" applyAlignment="1">
      <alignment horizontal="center"/>
    </xf>
    <xf numFmtId="9" fontId="184" fillId="81" borderId="100" xfId="6" applyNumberFormat="1" applyFont="1" applyFill="1" applyBorder="1" applyAlignment="1">
      <alignment horizontal="center" vertical="center"/>
    </xf>
    <xf numFmtId="0" fontId="184" fillId="89" borderId="107" xfId="5" applyFont="1" applyFill="1" applyBorder="1">
      <alignment vertical="center"/>
    </xf>
    <xf numFmtId="183" fontId="184" fillId="89" borderId="108" xfId="5" applyNumberFormat="1" applyFont="1" applyFill="1" applyBorder="1">
      <alignment vertical="center"/>
    </xf>
    <xf numFmtId="0" fontId="184" fillId="0" borderId="108" xfId="5" applyFont="1" applyBorder="1" applyAlignment="1">
      <alignment vertical="center" wrapText="1"/>
    </xf>
    <xf numFmtId="0" fontId="184" fillId="0" borderId="109" xfId="6" applyFont="1" applyBorder="1">
      <alignment vertical="center"/>
    </xf>
    <xf numFmtId="267" fontId="185" fillId="0" borderId="114" xfId="4" applyNumberFormat="1" applyFont="1" applyBorder="1" applyAlignment="1">
      <alignment vertical="center"/>
    </xf>
    <xf numFmtId="267" fontId="185" fillId="0" borderId="115" xfId="0" applyNumberFormat="1" applyFont="1" applyBorder="1" applyAlignment="1">
      <alignment vertical="center"/>
    </xf>
    <xf numFmtId="0" fontId="213" fillId="0" borderId="130" xfId="4" applyFont="1" applyBorder="1" applyAlignment="1">
      <alignment vertical="center" wrapText="1"/>
    </xf>
    <xf numFmtId="0" fontId="203" fillId="0" borderId="0" xfId="4" quotePrefix="1" applyFont="1"/>
    <xf numFmtId="0" fontId="184" fillId="0" borderId="13" xfId="5" applyFont="1" applyBorder="1" applyAlignment="1">
      <alignment horizontal="center" vertical="center"/>
    </xf>
    <xf numFmtId="183" fontId="184" fillId="0" borderId="4" xfId="5" applyNumberFormat="1" applyFont="1" applyBorder="1">
      <alignment vertical="center"/>
    </xf>
    <xf numFmtId="0" fontId="192" fillId="0" borderId="83" xfId="5" applyFont="1" applyBorder="1" applyAlignment="1">
      <alignment horizontal="center" vertical="center" wrapText="1"/>
    </xf>
    <xf numFmtId="2" fontId="184" fillId="81" borderId="15" xfId="6" applyNumberFormat="1" applyFont="1" applyFill="1" applyBorder="1" applyAlignment="1">
      <alignment horizontal="center" vertical="center"/>
    </xf>
    <xf numFmtId="0" fontId="184" fillId="0" borderId="104" xfId="6" applyFont="1" applyBorder="1" applyAlignment="1">
      <alignment horizontal="center" vertical="center"/>
    </xf>
    <xf numFmtId="183" fontId="184" fillId="0" borderId="105" xfId="5" applyNumberFormat="1" applyFont="1" applyBorder="1">
      <alignment vertical="center"/>
    </xf>
    <xf numFmtId="9" fontId="184" fillId="86" borderId="106" xfId="6" applyNumberFormat="1" applyFont="1" applyFill="1" applyBorder="1" applyAlignment="1">
      <alignment horizontal="center" vertical="center"/>
    </xf>
    <xf numFmtId="0" fontId="203" fillId="0" borderId="0" xfId="0" quotePrefix="1" applyFont="1"/>
    <xf numFmtId="0" fontId="184" fillId="0" borderId="107" xfId="5" applyFont="1" applyBorder="1" applyAlignment="1">
      <alignment horizontal="center" vertical="center"/>
    </xf>
    <xf numFmtId="183" fontId="184" fillId="0" borderId="108" xfId="5" applyNumberFormat="1" applyFont="1" applyBorder="1">
      <alignment vertical="center"/>
    </xf>
    <xf numFmtId="0" fontId="185" fillId="0" borderId="117" xfId="4" applyFont="1" applyBorder="1" applyAlignment="1">
      <alignment vertical="center"/>
    </xf>
    <xf numFmtId="0" fontId="184" fillId="0" borderId="101" xfId="5" applyFont="1" applyBorder="1" applyAlignment="1">
      <alignment horizontal="center" vertical="center"/>
    </xf>
    <xf numFmtId="179" fontId="184" fillId="86" borderId="102" xfId="6" applyNumberFormat="1" applyFont="1" applyFill="1" applyBorder="1" applyAlignment="1">
      <alignment horizontal="right" vertical="center"/>
    </xf>
    <xf numFmtId="0" fontId="184" fillId="0" borderId="102" xfId="5" applyFont="1" applyBorder="1" applyAlignment="1">
      <alignment horizontal="center" vertical="center" wrapText="1"/>
    </xf>
    <xf numFmtId="0" fontId="184" fillId="0" borderId="103" xfId="6" applyFont="1" applyBorder="1">
      <alignment vertical="center"/>
    </xf>
    <xf numFmtId="0" fontId="184" fillId="0" borderId="162" xfId="5" applyFont="1" applyBorder="1" applyAlignment="1">
      <alignment horizontal="center" vertical="center"/>
    </xf>
    <xf numFmtId="0" fontId="184" fillId="89" borderId="169" xfId="5" applyFont="1" applyFill="1" applyBorder="1" applyAlignment="1">
      <alignment horizontal="left" vertical="center"/>
    </xf>
    <xf numFmtId="270" fontId="185" fillId="89" borderId="170" xfId="0" applyNumberFormat="1" applyFont="1" applyFill="1" applyBorder="1" applyAlignment="1">
      <alignment vertical="center"/>
    </xf>
    <xf numFmtId="0" fontId="192" fillId="0" borderId="94" xfId="4" applyFont="1" applyBorder="1"/>
    <xf numFmtId="0" fontId="213" fillId="0" borderId="94" xfId="4" applyFont="1" applyBorder="1"/>
    <xf numFmtId="0" fontId="192" fillId="0" borderId="94" xfId="0" applyFont="1" applyBorder="1" applyAlignment="1">
      <alignment horizontal="center" vertical="center"/>
    </xf>
    <xf numFmtId="0" fontId="192" fillId="0" borderId="54" xfId="4" applyFont="1" applyBorder="1"/>
    <xf numFmtId="0" fontId="184" fillId="0" borderId="54" xfId="0" applyFont="1" applyBorder="1" applyAlignment="1">
      <alignment horizontal="center"/>
    </xf>
    <xf numFmtId="0" fontId="184" fillId="89" borderId="135" xfId="5" applyFont="1" applyFill="1" applyBorder="1" applyAlignment="1">
      <alignment horizontal="left" vertical="center"/>
    </xf>
    <xf numFmtId="0" fontId="184" fillId="0" borderId="0" xfId="4" applyFont="1" applyAlignment="1">
      <alignment horizontal="right"/>
    </xf>
    <xf numFmtId="0" fontId="184" fillId="81" borderId="2" xfId="4" applyFont="1" applyFill="1" applyBorder="1" applyAlignment="1">
      <alignment horizontal="center"/>
    </xf>
    <xf numFmtId="0" fontId="192" fillId="0" borderId="89" xfId="4" applyFont="1" applyBorder="1"/>
    <xf numFmtId="0" fontId="184" fillId="0" borderId="89" xfId="0" applyFont="1" applyBorder="1" applyAlignment="1">
      <alignment horizontal="center"/>
    </xf>
    <xf numFmtId="270" fontId="185" fillId="84" borderId="83" xfId="0" applyNumberFormat="1" applyFont="1" applyFill="1" applyBorder="1" applyAlignment="1">
      <alignment vertical="center"/>
    </xf>
    <xf numFmtId="0" fontId="192" fillId="0" borderId="6" xfId="0" applyFont="1" applyBorder="1"/>
    <xf numFmtId="0" fontId="192" fillId="0" borderId="6" xfId="4" applyFont="1" applyBorder="1"/>
    <xf numFmtId="2" fontId="184" fillId="0" borderId="6" xfId="0" applyNumberFormat="1" applyFont="1" applyBorder="1" applyAlignment="1">
      <alignment horizontal="center"/>
    </xf>
    <xf numFmtId="0" fontId="192" fillId="0" borderId="0" xfId="4" applyFont="1"/>
    <xf numFmtId="2" fontId="184" fillId="0" borderId="0" xfId="0" applyNumberFormat="1" applyFont="1" applyAlignment="1">
      <alignment horizontal="center"/>
    </xf>
    <xf numFmtId="38" fontId="184" fillId="0" borderId="6" xfId="850" applyFont="1" applyBorder="1">
      <alignment vertical="center"/>
    </xf>
    <xf numFmtId="0" fontId="184" fillId="0" borderId="101" xfId="0" applyFont="1" applyBorder="1" applyAlignment="1">
      <alignment vertical="center" wrapText="1"/>
    </xf>
    <xf numFmtId="0" fontId="184" fillId="87" borderId="8" xfId="4" applyFont="1" applyFill="1" applyBorder="1" applyAlignment="1">
      <alignment vertical="center"/>
    </xf>
    <xf numFmtId="0" fontId="184" fillId="0" borderId="3" xfId="5" applyFont="1" applyBorder="1" applyAlignment="1">
      <alignment horizontal="left" vertical="center"/>
    </xf>
    <xf numFmtId="0" fontId="184" fillId="0" borderId="117" xfId="5" applyFont="1" applyBorder="1" applyAlignment="1">
      <alignment horizontal="left" vertical="center"/>
    </xf>
    <xf numFmtId="0" fontId="184" fillId="87" borderId="8" xfId="4" applyFont="1" applyFill="1" applyBorder="1"/>
    <xf numFmtId="0" fontId="184" fillId="0" borderId="116" xfId="5" applyFont="1" applyBorder="1" applyAlignment="1">
      <alignment horizontal="left" vertical="center"/>
    </xf>
    <xf numFmtId="0" fontId="184" fillId="0" borderId="114" xfId="5" applyFont="1" applyBorder="1" applyAlignment="1">
      <alignment horizontal="left" vertical="center"/>
    </xf>
    <xf numFmtId="0" fontId="184" fillId="87" borderId="8" xfId="5" applyFont="1" applyFill="1" applyBorder="1" applyAlignment="1">
      <alignment horizontal="left" vertical="center"/>
    </xf>
    <xf numFmtId="0" fontId="184" fillId="87" borderId="111" xfId="5" applyFont="1" applyFill="1" applyBorder="1" applyAlignment="1">
      <alignment horizontal="left" vertical="center"/>
    </xf>
    <xf numFmtId="0" fontId="192" fillId="0" borderId="3" xfId="5" applyFont="1" applyBorder="1" applyAlignment="1">
      <alignment horizontal="left" vertical="center"/>
    </xf>
    <xf numFmtId="0" fontId="184" fillId="0" borderId="8" xfId="5" applyFont="1" applyBorder="1" applyAlignment="1">
      <alignment horizontal="left" vertical="center"/>
    </xf>
    <xf numFmtId="0" fontId="184" fillId="87" borderId="5" xfId="5" applyFont="1" applyFill="1" applyBorder="1" applyAlignment="1">
      <alignment horizontal="left" vertical="center"/>
    </xf>
    <xf numFmtId="0" fontId="217" fillId="0" borderId="0" xfId="4" applyFont="1" applyAlignment="1">
      <alignment vertical="top"/>
    </xf>
    <xf numFmtId="0" fontId="184" fillId="0" borderId="87" xfId="4" applyFont="1" applyBorder="1"/>
    <xf numFmtId="0" fontId="184" fillId="0" borderId="54" xfId="4" applyFont="1" applyBorder="1"/>
    <xf numFmtId="0" fontId="184" fillId="0" borderId="89" xfId="4" applyFont="1" applyBorder="1"/>
    <xf numFmtId="270" fontId="184" fillId="87" borderId="2" xfId="0" applyNumberFormat="1" applyFont="1" applyFill="1" applyBorder="1" applyAlignment="1">
      <alignment vertical="center"/>
    </xf>
    <xf numFmtId="270" fontId="184" fillId="0" borderId="4" xfId="0" applyNumberFormat="1" applyFont="1" applyBorder="1" applyAlignment="1">
      <alignment vertical="center"/>
    </xf>
    <xf numFmtId="185" fontId="184" fillId="0" borderId="94" xfId="0" applyNumberFormat="1" applyFont="1" applyBorder="1" applyAlignment="1">
      <alignment vertical="center"/>
    </xf>
    <xf numFmtId="270" fontId="184" fillId="0" borderId="4" xfId="4" applyNumberFormat="1" applyFont="1" applyBorder="1" applyAlignment="1">
      <alignment vertical="center"/>
    </xf>
    <xf numFmtId="270" fontId="184" fillId="0" borderId="54" xfId="0" applyNumberFormat="1" applyFont="1" applyBorder="1" applyAlignment="1">
      <alignment vertical="center"/>
    </xf>
    <xf numFmtId="0" fontId="184" fillId="0" borderId="2" xfId="4" applyFont="1" applyBorder="1" applyAlignment="1">
      <alignment horizontal="left" vertical="center"/>
    </xf>
    <xf numFmtId="0" fontId="184" fillId="89" borderId="2" xfId="4" applyFont="1" applyFill="1" applyBorder="1" applyAlignment="1">
      <alignment horizontal="left" vertical="center"/>
    </xf>
    <xf numFmtId="0" fontId="184" fillId="0" borderId="2" xfId="4" applyFont="1" applyBorder="1" applyAlignment="1">
      <alignment horizontal="left" vertical="center" wrapText="1"/>
    </xf>
    <xf numFmtId="0" fontId="184" fillId="84" borderId="2" xfId="4" applyFont="1" applyFill="1" applyBorder="1" applyAlignment="1">
      <alignment horizontal="left" vertical="center"/>
    </xf>
    <xf numFmtId="0" fontId="203" fillId="0" borderId="2" xfId="4" applyFont="1" applyBorder="1" applyAlignment="1">
      <alignment horizontal="left" vertical="center"/>
    </xf>
    <xf numFmtId="270" fontId="184" fillId="89" borderId="2" xfId="4" applyNumberFormat="1" applyFont="1" applyFill="1" applyBorder="1" applyAlignment="1">
      <alignment vertical="center"/>
    </xf>
    <xf numFmtId="270" fontId="184" fillId="84" borderId="2" xfId="4" applyNumberFormat="1" applyFont="1" applyFill="1" applyBorder="1" applyAlignment="1">
      <alignment vertical="center"/>
    </xf>
    <xf numFmtId="183" fontId="184" fillId="89" borderId="2" xfId="4" applyNumberFormat="1" applyFont="1" applyFill="1" applyBorder="1" applyAlignment="1">
      <alignment vertical="center"/>
    </xf>
    <xf numFmtId="0" fontId="184" fillId="0" borderId="132" xfId="7" applyFont="1" applyBorder="1" applyAlignment="1">
      <alignment vertical="center"/>
    </xf>
    <xf numFmtId="270" fontId="185" fillId="0" borderId="92" xfId="7" applyNumberFormat="1" applyFont="1" applyBorder="1" applyAlignment="1">
      <alignment vertical="center"/>
    </xf>
    <xf numFmtId="270" fontId="184" fillId="0" borderId="54" xfId="850" applyNumberFormat="1" applyFont="1" applyBorder="1" applyAlignment="1">
      <alignment vertical="center"/>
    </xf>
    <xf numFmtId="0" fontId="192" fillId="0" borderId="133" xfId="8" applyFont="1" applyBorder="1" applyAlignment="1">
      <alignment vertical="center"/>
    </xf>
    <xf numFmtId="270" fontId="184" fillId="0" borderId="54" xfId="7" applyNumberFormat="1" applyFont="1" applyBorder="1" applyAlignment="1">
      <alignment vertical="center"/>
    </xf>
    <xf numFmtId="270" fontId="185" fillId="0" borderId="54" xfId="7" applyNumberFormat="1" applyFont="1" applyBorder="1" applyAlignment="1">
      <alignment vertical="center"/>
    </xf>
    <xf numFmtId="270" fontId="185" fillId="0" borderId="1" xfId="8" applyNumberFormat="1" applyFont="1" applyBorder="1" applyAlignment="1">
      <alignment vertical="center"/>
    </xf>
    <xf numFmtId="0" fontId="192" fillId="0" borderId="133" xfId="4" applyFont="1" applyBorder="1" applyAlignment="1">
      <alignment vertical="center"/>
    </xf>
    <xf numFmtId="0" fontId="184" fillId="0" borderId="134" xfId="7" applyFont="1" applyBorder="1" applyAlignment="1">
      <alignment vertical="center"/>
    </xf>
    <xf numFmtId="270" fontId="184" fillId="0" borderId="4" xfId="7" applyNumberFormat="1" applyFont="1" applyBorder="1" applyAlignment="1">
      <alignment vertical="center"/>
    </xf>
    <xf numFmtId="178" fontId="192" fillId="0" borderId="130" xfId="8" applyNumberFormat="1" applyFont="1" applyBorder="1" applyAlignment="1">
      <alignment vertical="center"/>
    </xf>
    <xf numFmtId="270" fontId="184" fillId="0" borderId="84" xfId="7" applyNumberFormat="1" applyFont="1" applyBorder="1" applyAlignment="1">
      <alignment vertical="center"/>
    </xf>
    <xf numFmtId="178" fontId="181" fillId="0" borderId="160" xfId="8" applyNumberFormat="1" applyFont="1" applyBorder="1" applyAlignment="1">
      <alignment vertical="center"/>
    </xf>
    <xf numFmtId="178" fontId="184" fillId="0" borderId="34" xfId="8" applyNumberFormat="1" applyFont="1" applyBorder="1" applyAlignment="1">
      <alignment vertical="center"/>
    </xf>
    <xf numFmtId="0" fontId="181" fillId="0" borderId="163" xfId="4" applyFont="1" applyBorder="1" applyAlignment="1">
      <alignment vertical="center"/>
    </xf>
    <xf numFmtId="0" fontId="192" fillId="89" borderId="171" xfId="0" applyFont="1" applyFill="1" applyBorder="1" applyAlignment="1">
      <alignment horizontal="center" vertical="center"/>
    </xf>
    <xf numFmtId="0" fontId="192" fillId="89" borderId="173" xfId="0" applyFont="1" applyFill="1" applyBorder="1" applyAlignment="1">
      <alignment vertical="center"/>
    </xf>
    <xf numFmtId="0" fontId="184" fillId="89" borderId="174" xfId="4" applyFont="1" applyFill="1" applyBorder="1" applyAlignment="1">
      <alignment vertical="center"/>
    </xf>
    <xf numFmtId="0" fontId="186" fillId="0" borderId="0" xfId="0" applyFont="1" applyAlignment="1">
      <alignment vertical="center"/>
    </xf>
    <xf numFmtId="270" fontId="185" fillId="89" borderId="105" xfId="0" applyNumberFormat="1" applyFont="1" applyFill="1" applyBorder="1" applyAlignment="1">
      <alignment vertical="center"/>
    </xf>
    <xf numFmtId="0" fontId="192" fillId="0" borderId="113" xfId="0" applyFont="1" applyBorder="1" applyAlignment="1">
      <alignment vertical="center"/>
    </xf>
    <xf numFmtId="270" fontId="185" fillId="81" borderId="6" xfId="0" applyNumberFormat="1" applyFont="1" applyFill="1" applyBorder="1" applyAlignment="1">
      <alignment vertical="center"/>
    </xf>
    <xf numFmtId="0" fontId="184" fillId="0" borderId="0" xfId="0" applyFont="1" applyAlignment="1">
      <alignment vertical="center"/>
    </xf>
    <xf numFmtId="0" fontId="192" fillId="84" borderId="119" xfId="0" applyFont="1" applyFill="1" applyBorder="1" applyAlignment="1">
      <alignment vertical="center"/>
    </xf>
    <xf numFmtId="0" fontId="213" fillId="0" borderId="4" xfId="5" applyFont="1" applyBorder="1" applyAlignment="1">
      <alignment horizontal="center" vertical="center" wrapText="1"/>
    </xf>
    <xf numFmtId="0" fontId="183" fillId="79" borderId="11" xfId="5" applyFont="1" applyFill="1" applyBorder="1" applyAlignment="1">
      <alignment horizontal="center" vertical="center"/>
    </xf>
    <xf numFmtId="0" fontId="186" fillId="0" borderId="20" xfId="0" applyFont="1" applyBorder="1" applyAlignment="1">
      <alignment horizontal="center"/>
    </xf>
    <xf numFmtId="38" fontId="184" fillId="81" borderId="111" xfId="850" applyFont="1" applyFill="1" applyBorder="1" applyAlignment="1">
      <alignment horizontal="center" vertical="center"/>
    </xf>
    <xf numFmtId="0" fontId="186" fillId="0" borderId="112" xfId="0" applyFont="1" applyBorder="1" applyAlignment="1"/>
    <xf numFmtId="38" fontId="184" fillId="81" borderId="114" xfId="850" applyFont="1" applyFill="1" applyBorder="1" applyAlignment="1">
      <alignment horizontal="center" vertical="center"/>
    </xf>
    <xf numFmtId="0" fontId="186" fillId="0" borderId="115" xfId="0" applyFont="1" applyBorder="1" applyAlignment="1"/>
    <xf numFmtId="0" fontId="192" fillId="0" borderId="5" xfId="8" applyFont="1" applyBorder="1" applyAlignment="1">
      <alignment horizontal="center" vertical="center"/>
    </xf>
    <xf numFmtId="0" fontId="186" fillId="0" borderId="179" xfId="0" applyFont="1" applyBorder="1" applyAlignment="1">
      <alignment horizontal="center"/>
    </xf>
    <xf numFmtId="0" fontId="186" fillId="0" borderId="14" xfId="0" applyFont="1" applyBorder="1" applyAlignment="1">
      <alignment horizontal="center"/>
    </xf>
    <xf numFmtId="0" fontId="186" fillId="0" borderId="131" xfId="0" applyFont="1" applyBorder="1" applyAlignment="1">
      <alignment horizontal="center"/>
    </xf>
    <xf numFmtId="0" fontId="192" fillId="0" borderId="3" xfId="8" applyFont="1" applyBorder="1" applyAlignment="1">
      <alignment horizontal="center" vertical="center"/>
    </xf>
    <xf numFmtId="0" fontId="186" fillId="0" borderId="79" xfId="0" applyFont="1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186" fillId="0" borderId="2" xfId="0" applyFont="1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186" fillId="0" borderId="128" xfId="0" applyFont="1" applyBorder="1" applyAlignment="1"/>
    <xf numFmtId="0" fontId="192" fillId="0" borderId="8" xfId="8" applyFont="1" applyBorder="1" applyAlignment="1">
      <alignment horizontal="center" vertical="center" wrapText="1"/>
    </xf>
    <xf numFmtId="0" fontId="186" fillId="0" borderId="10" xfId="0" applyFont="1" applyBorder="1" applyAlignment="1">
      <alignment horizontal="center" wrapText="1"/>
    </xf>
    <xf numFmtId="0" fontId="183" fillId="0" borderId="0" xfId="8" applyFont="1" applyAlignment="1">
      <alignment vertical="center"/>
    </xf>
    <xf numFmtId="0" fontId="186" fillId="0" borderId="124" xfId="0" applyFont="1" applyBorder="1" applyAlignment="1"/>
    <xf numFmtId="0" fontId="192" fillId="0" borderId="3" xfId="8" applyFont="1" applyBorder="1" applyAlignment="1">
      <alignment horizontal="center" vertical="center" wrapText="1"/>
    </xf>
    <xf numFmtId="0" fontId="186" fillId="0" borderId="79" xfId="0" applyFont="1" applyBorder="1" applyAlignment="1">
      <alignment horizontal="center" vertical="center" wrapText="1"/>
    </xf>
    <xf numFmtId="0" fontId="192" fillId="0" borderId="8" xfId="8" applyFont="1" applyBorder="1" applyAlignment="1">
      <alignment horizontal="center" vertical="center"/>
    </xf>
    <xf numFmtId="0" fontId="186" fillId="0" borderId="10" xfId="0" applyFont="1" applyBorder="1" applyAlignment="1">
      <alignment horizontal="center"/>
    </xf>
    <xf numFmtId="0" fontId="192" fillId="0" borderId="4" xfId="8" applyFont="1" applyBorder="1" applyAlignment="1">
      <alignment horizontal="center" vertical="center" wrapText="1"/>
    </xf>
    <xf numFmtId="0" fontId="186" fillId="0" borderId="4" xfId="0" applyFont="1" applyBorder="1" applyAlignment="1">
      <alignment horizontal="center" wrapText="1"/>
    </xf>
    <xf numFmtId="0" fontId="181" fillId="0" borderId="81" xfId="4" applyFont="1" applyBorder="1" applyAlignment="1"/>
    <xf numFmtId="0" fontId="186" fillId="0" borderId="81" xfId="0" applyFont="1" applyBorder="1" applyAlignment="1"/>
    <xf numFmtId="0" fontId="211" fillId="81" borderId="11" xfId="4" applyFont="1" applyFill="1" applyBorder="1" applyAlignment="1">
      <alignment horizontal="center" vertical="center"/>
    </xf>
    <xf numFmtId="0" fontId="186" fillId="81" borderId="12" xfId="0" applyFont="1" applyFill="1" applyBorder="1" applyAlignment="1">
      <alignment horizontal="center" vertical="center"/>
    </xf>
    <xf numFmtId="0" fontId="186" fillId="81" borderId="20" xfId="0" applyFont="1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189" fillId="0" borderId="12" xfId="0" applyFont="1" applyBorder="1" applyAlignment="1">
      <alignment wrapText="1"/>
    </xf>
    <xf numFmtId="0" fontId="189" fillId="0" borderId="20" xfId="0" applyFont="1" applyBorder="1" applyAlignment="1">
      <alignment wrapText="1"/>
    </xf>
    <xf numFmtId="177" fontId="214" fillId="79" borderId="34" xfId="851" applyNumberFormat="1" applyFont="1" applyFill="1" applyBorder="1" applyAlignment="1">
      <alignment horizontal="left"/>
    </xf>
    <xf numFmtId="0" fontId="186" fillId="0" borderId="24" xfId="0" applyFont="1" applyBorder="1" applyAlignment="1">
      <alignment horizontal="left"/>
    </xf>
    <xf numFmtId="0" fontId="200" fillId="36" borderId="11" xfId="4" applyFont="1" applyFill="1" applyBorder="1" applyAlignment="1">
      <alignment horizontal="center" vertical="center"/>
    </xf>
    <xf numFmtId="0" fontId="186" fillId="0" borderId="12" xfId="0" applyFont="1" applyBorder="1" applyAlignment="1">
      <alignment horizontal="center" vertical="center"/>
    </xf>
    <xf numFmtId="0" fontId="186" fillId="0" borderId="20" xfId="0" applyFont="1" applyBorder="1" applyAlignment="1">
      <alignment horizontal="center" vertical="center"/>
    </xf>
    <xf numFmtId="0" fontId="197" fillId="82" borderId="7" xfId="4" applyFont="1" applyFill="1" applyBorder="1" applyAlignment="1">
      <alignment horizontal="center" vertical="center" wrapText="1"/>
    </xf>
    <xf numFmtId="0" fontId="205" fillId="82" borderId="6" xfId="0" applyFont="1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189" fillId="0" borderId="12" xfId="0" applyFont="1" applyBorder="1" applyAlignment="1">
      <alignment horizontal="center"/>
    </xf>
    <xf numFmtId="0" fontId="189" fillId="0" borderId="20" xfId="0" applyFont="1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186" fillId="89" borderId="121" xfId="0" applyFont="1" applyFill="1" applyBorder="1" applyAlignment="1">
      <alignment wrapText="1"/>
    </xf>
    <xf numFmtId="0" fontId="186" fillId="89" borderId="122" xfId="0" applyFont="1" applyFill="1" applyBorder="1" applyAlignment="1">
      <alignment wrapText="1"/>
    </xf>
    <xf numFmtId="0" fontId="213" fillId="0" borderId="148" xfId="4" applyFont="1" applyBorder="1" applyAlignment="1">
      <alignment horizontal="center" vertical="center"/>
    </xf>
    <xf numFmtId="0" fontId="186" fillId="0" borderId="149" xfId="0" applyFont="1" applyBorder="1" applyAlignment="1">
      <alignment horizontal="center"/>
    </xf>
    <xf numFmtId="179" fontId="192" fillId="0" borderId="150" xfId="6" applyNumberFormat="1" applyFont="1" applyBorder="1" applyAlignment="1">
      <alignment horizontal="center" wrapText="1"/>
    </xf>
    <xf numFmtId="0" fontId="192" fillId="0" borderId="90" xfId="0" applyFont="1" applyBorder="1" applyAlignment="1">
      <alignment horizontal="center"/>
    </xf>
    <xf numFmtId="0" fontId="184" fillId="0" borderId="151" xfId="4" applyFont="1" applyBorder="1" applyAlignment="1">
      <alignment horizontal="left" vertical="center"/>
    </xf>
    <xf numFmtId="0" fontId="186" fillId="0" borderId="138" xfId="0" applyFont="1" applyBorder="1" applyAlignment="1">
      <alignment horizontal="left" vertical="center"/>
    </xf>
    <xf numFmtId="0" fontId="184" fillId="0" borderId="147" xfId="5" applyFont="1" applyBorder="1" applyAlignment="1" applyProtection="1">
      <alignment vertical="center" wrapText="1"/>
      <protection locked="0"/>
    </xf>
    <xf numFmtId="0" fontId="186" fillId="0" borderId="98" xfId="0" applyFont="1" applyBorder="1" applyAlignment="1">
      <alignment vertical="center"/>
    </xf>
    <xf numFmtId="267" fontId="185" fillId="81" borderId="117" xfId="8" applyNumberFormat="1" applyFont="1" applyFill="1" applyBorder="1" applyAlignment="1">
      <alignment horizontal="center" vertical="center"/>
    </xf>
    <xf numFmtId="0" fontId="186" fillId="0" borderId="118" xfId="0" applyFont="1" applyBorder="1" applyAlignment="1">
      <alignment horizontal="center" vertical="center"/>
    </xf>
    <xf numFmtId="267" fontId="185" fillId="81" borderId="117" xfId="4" applyNumberFormat="1" applyFont="1" applyFill="1" applyBorder="1" applyAlignment="1">
      <alignment horizontal="center" vertical="center"/>
    </xf>
    <xf numFmtId="178" fontId="185" fillId="81" borderId="176" xfId="8" applyNumberFormat="1" applyFont="1" applyFill="1" applyBorder="1" applyAlignment="1">
      <alignment horizontal="center" vertical="center"/>
    </xf>
    <xf numFmtId="0" fontId="186" fillId="0" borderId="177" xfId="0" applyFont="1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186" fillId="0" borderId="155" xfId="0" applyFont="1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186" fillId="0" borderId="118" xfId="0" applyFont="1" applyBorder="1" applyAlignment="1">
      <alignment horizontal="center" vertical="center" wrapText="1"/>
    </xf>
    <xf numFmtId="0" fontId="185" fillId="89" borderId="164" xfId="7" applyFont="1" applyFill="1" applyBorder="1" applyAlignment="1">
      <alignment vertical="center" wrapText="1"/>
    </xf>
    <xf numFmtId="0" fontId="186" fillId="0" borderId="165" xfId="0" applyFont="1" applyBorder="1" applyAlignment="1">
      <alignment wrapText="1"/>
    </xf>
    <xf numFmtId="0" fontId="186" fillId="0" borderId="166" xfId="0" applyFont="1" applyBorder="1" applyAlignment="1">
      <alignment wrapText="1"/>
    </xf>
    <xf numFmtId="0" fontId="184" fillId="0" borderId="147" xfId="5" applyFont="1" applyBorder="1" applyAlignment="1">
      <alignment horizontal="left" vertical="center"/>
    </xf>
    <xf numFmtId="0" fontId="186" fillId="0" borderId="98" xfId="0" applyFont="1" applyBorder="1" applyAlignment="1">
      <alignment horizontal="left" vertical="center"/>
    </xf>
    <xf numFmtId="0" fontId="192" fillId="84" borderId="110" xfId="8" applyFont="1" applyFill="1" applyBorder="1" applyAlignment="1">
      <alignment horizontal="center" vertical="center" wrapText="1"/>
    </xf>
    <xf numFmtId="0" fontId="186" fillId="0" borderId="20" xfId="0" applyFont="1" applyBorder="1" applyAlignment="1">
      <alignment horizontal="center" vertical="center" wrapText="1"/>
    </xf>
    <xf numFmtId="0" fontId="192" fillId="0" borderId="168" xfId="8" applyFont="1" applyBorder="1" applyAlignment="1">
      <alignment horizontal="center" vertical="center" wrapText="1"/>
    </xf>
    <xf numFmtId="0" fontId="186" fillId="0" borderId="109" xfId="0" applyFont="1" applyBorder="1" applyAlignment="1">
      <alignment horizontal="center" vertical="center" wrapText="1"/>
    </xf>
    <xf numFmtId="0" fontId="192" fillId="0" borderId="160" xfId="8" applyFont="1" applyBorder="1" applyAlignment="1">
      <alignment horizontal="center" vertical="center" wrapText="1"/>
    </xf>
    <xf numFmtId="0" fontId="186" fillId="0" borderId="161" xfId="0" applyFont="1" applyBorder="1" applyAlignment="1">
      <alignment horizontal="center" vertic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186" fillId="0" borderId="106" xfId="0" applyFont="1" applyBorder="1" applyAlignment="1">
      <alignment horizontal="center" vertical="center" wrapText="1"/>
    </xf>
    <xf numFmtId="0" fontId="189" fillId="0" borderId="12" xfId="0" applyFont="1" applyBorder="1" applyAlignment="1">
      <alignment horizontal="center" vertical="center" wrapText="1"/>
    </xf>
    <xf numFmtId="0" fontId="189" fillId="0" borderId="20" xfId="0" applyFont="1" applyBorder="1" applyAlignment="1">
      <alignment horizontal="center" vertical="center" wrapText="1"/>
    </xf>
    <xf numFmtId="0" fontId="183" fillId="79" borderId="23" xfId="5" applyFont="1" applyFill="1" applyBorder="1">
      <alignment vertical="center"/>
    </xf>
    <xf numFmtId="0" fontId="189" fillId="0" borderId="34" xfId="0" applyFont="1" applyBorder="1"/>
    <xf numFmtId="0" fontId="184" fillId="0" borderId="8" xfId="8" applyFont="1" applyBorder="1" applyAlignment="1">
      <alignment horizontal="center" vertical="center"/>
    </xf>
    <xf numFmtId="0" fontId="186" fillId="0" borderId="10" xfId="0" applyFont="1" applyBorder="1"/>
    <xf numFmtId="38" fontId="184" fillId="81" borderId="3" xfId="850" applyFont="1" applyFill="1" applyBorder="1" applyAlignment="1">
      <alignment horizontal="center" vertical="center"/>
    </xf>
    <xf numFmtId="0" fontId="186" fillId="0" borderId="79" xfId="0" applyFont="1" applyBorder="1" applyAlignment="1"/>
    <xf numFmtId="0" fontId="192" fillId="89" borderId="171" xfId="8" applyFont="1" applyFill="1" applyBorder="1" applyAlignment="1">
      <alignment horizontal="center" vertical="center" wrapText="1"/>
    </xf>
    <xf numFmtId="0" fontId="186" fillId="89" borderId="172" xfId="0" applyFont="1" applyFill="1" applyBorder="1" applyAlignment="1">
      <alignment horizontal="center" vertical="center" wrapText="1"/>
    </xf>
    <xf numFmtId="0" fontId="185" fillId="0" borderId="0" xfId="0" applyFont="1" applyAlignment="1">
      <alignment horizontal="center" vertical="center"/>
    </xf>
    <xf numFmtId="0" fontId="186" fillId="0" borderId="0" xfId="0" applyFont="1" applyAlignment="1"/>
    <xf numFmtId="0" fontId="203" fillId="0" borderId="7" xfId="829" applyFont="1" applyBorder="1" applyAlignment="1">
      <alignment vertical="center"/>
    </xf>
    <xf numFmtId="0" fontId="204" fillId="0" borderId="6" xfId="829" applyFont="1" applyBorder="1" applyAlignment="1">
      <alignment vertical="center"/>
    </xf>
    <xf numFmtId="38" fontId="184" fillId="82" borderId="78" xfId="850" applyFont="1" applyFill="1" applyBorder="1" applyAlignment="1">
      <alignment vertical="center"/>
    </xf>
    <xf numFmtId="38" fontId="184" fillId="82" borderId="80" xfId="850" applyFont="1" applyFill="1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0066FF"/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  <pageSetUpPr fitToPage="1"/>
  </sheetPr>
  <dimension ref="A1:AA77"/>
  <sheetViews>
    <sheetView showGridLines="0" view="pageBreakPreview" topLeftCell="A7" zoomScale="70" zoomScaleNormal="100" zoomScaleSheetLayoutView="70" workbookViewId="0">
      <selection activeCell="K14" sqref="K14"/>
    </sheetView>
  </sheetViews>
  <sheetFormatPr defaultColWidth="8.7109375" defaultRowHeight="15.75"/>
  <cols>
    <col min="1" max="1" width="4.42578125" style="1" customWidth="1"/>
    <col min="2" max="2" width="38.5703125" style="1" customWidth="1"/>
    <col min="3" max="3" width="22" style="1" customWidth="1"/>
    <col min="4" max="4" width="21.7109375" style="31" customWidth="1"/>
    <col min="5" max="5" width="22.5703125" style="1" customWidth="1"/>
    <col min="6" max="6" width="4.7109375" style="1" customWidth="1"/>
    <col min="7" max="7" width="35.5703125" style="1" customWidth="1"/>
    <col min="8" max="8" width="9.85546875" style="236" customWidth="1"/>
    <col min="9" max="9" width="12.140625" style="1" customWidth="1"/>
    <col min="10" max="10" width="5" style="31" customWidth="1"/>
    <col min="11" max="11" width="16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52.7109375" style="1" customWidth="1"/>
    <col min="16" max="16" width="10.5703125" style="1" customWidth="1"/>
    <col min="17" max="17" width="11" style="1" customWidth="1"/>
    <col min="18" max="18" width="11.140625" style="1" customWidth="1"/>
    <col min="19" max="19" width="10.85546875" style="1" customWidth="1"/>
    <col min="20" max="20" width="12.28515625" style="1" customWidth="1"/>
    <col min="21" max="21" width="12.8554687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6.5" thickBot="1">
      <c r="R1" s="542"/>
      <c r="S1" s="543"/>
      <c r="T1" s="543"/>
      <c r="U1" s="543"/>
    </row>
    <row r="2" spans="1:21" ht="23.45" customHeight="1" thickBot="1">
      <c r="B2" s="557" t="s">
        <v>127</v>
      </c>
      <c r="C2" s="558"/>
      <c r="D2" s="558"/>
      <c r="E2" s="558"/>
      <c r="F2" s="558"/>
      <c r="G2" s="559"/>
      <c r="I2" s="237" t="s">
        <v>126</v>
      </c>
      <c r="J2" s="544" t="s">
        <v>125</v>
      </c>
      <c r="K2" s="545"/>
      <c r="L2" s="545"/>
      <c r="M2" s="546"/>
      <c r="O2" s="552" t="s">
        <v>182</v>
      </c>
      <c r="P2" s="553"/>
      <c r="Q2" s="553"/>
      <c r="R2" s="553"/>
      <c r="S2" s="553"/>
      <c r="T2" s="553"/>
      <c r="U2" s="554"/>
    </row>
    <row r="3" spans="1:21" ht="16.149999999999999" customHeight="1" thickBot="1">
      <c r="A3" s="32"/>
      <c r="B3" s="32"/>
      <c r="C3" s="32"/>
      <c r="D3" s="33"/>
      <c r="E3" s="32"/>
      <c r="F3" s="32"/>
      <c r="T3" s="238" t="s">
        <v>0</v>
      </c>
      <c r="U3" s="239">
        <f>L19</f>
        <v>8.9928103172148832E-2</v>
      </c>
    </row>
    <row r="4" spans="1:21" ht="24" customHeight="1" thickBot="1">
      <c r="B4" s="547" t="s">
        <v>133</v>
      </c>
      <c r="C4" s="548"/>
      <c r="D4" s="548"/>
      <c r="E4" s="549"/>
      <c r="F4" s="3"/>
      <c r="G4" s="547" t="s">
        <v>133</v>
      </c>
      <c r="H4" s="548"/>
      <c r="I4" s="548"/>
      <c r="J4" s="548"/>
      <c r="K4" s="548"/>
      <c r="L4" s="548"/>
      <c r="M4" s="549"/>
      <c r="O4" s="150" t="s">
        <v>183</v>
      </c>
      <c r="P4" s="240" t="s">
        <v>184</v>
      </c>
      <c r="Q4" s="241" t="s">
        <v>185</v>
      </c>
      <c r="R4" s="241" t="s">
        <v>186</v>
      </c>
      <c r="S4" s="241" t="s">
        <v>187</v>
      </c>
      <c r="T4" s="241" t="s">
        <v>188</v>
      </c>
      <c r="U4" s="555" t="s">
        <v>296</v>
      </c>
    </row>
    <row r="5" spans="1:21" ht="32.25" customHeight="1" thickBot="1">
      <c r="A5" s="1">
        <v>1</v>
      </c>
      <c r="B5" s="242" t="s">
        <v>128</v>
      </c>
      <c r="C5" s="243">
        <f>C6*C7</f>
        <v>1000000</v>
      </c>
      <c r="D5" s="244" t="s">
        <v>1</v>
      </c>
      <c r="E5" s="245"/>
      <c r="F5" s="3">
        <v>12</v>
      </c>
      <c r="G5" s="246" t="s">
        <v>2</v>
      </c>
      <c r="H5" s="247"/>
      <c r="I5" s="248"/>
      <c r="J5" s="248"/>
      <c r="K5" s="89"/>
      <c r="L5" s="90"/>
      <c r="M5" s="91"/>
      <c r="O5" s="151" t="s">
        <v>189</v>
      </c>
      <c r="P5" s="249">
        <v>2026</v>
      </c>
      <c r="Q5" s="250">
        <f>P5+7</f>
        <v>2033</v>
      </c>
      <c r="R5" s="250">
        <f>Q5+5</f>
        <v>2038</v>
      </c>
      <c r="S5" s="250">
        <f>R5+5</f>
        <v>2043</v>
      </c>
      <c r="T5" s="251">
        <f>S5+2</f>
        <v>2045</v>
      </c>
      <c r="U5" s="556"/>
    </row>
    <row r="6" spans="1:21" ht="18.600000000000001" customHeight="1">
      <c r="A6" s="1">
        <v>2</v>
      </c>
      <c r="B6" s="252" t="s">
        <v>129</v>
      </c>
      <c r="C6" s="253">
        <v>3000</v>
      </c>
      <c r="D6" s="254" t="s">
        <v>3</v>
      </c>
      <c r="E6" s="255"/>
      <c r="F6" s="256" t="s">
        <v>4</v>
      </c>
      <c r="G6" s="257" t="s">
        <v>162</v>
      </c>
      <c r="H6" s="258">
        <v>17</v>
      </c>
      <c r="I6" s="259" t="s">
        <v>5</v>
      </c>
      <c r="J6" s="260"/>
      <c r="K6" s="69"/>
      <c r="L6" s="2"/>
      <c r="M6" s="70"/>
      <c r="N6" s="76">
        <v>1</v>
      </c>
      <c r="O6" s="261" t="s">
        <v>190</v>
      </c>
      <c r="P6" s="262">
        <f>P7+P8+P9</f>
        <v>38.523949999999999</v>
      </c>
      <c r="Q6" s="262">
        <f t="shared" ref="Q6:U6" si="0">Q7+Q8+Q9</f>
        <v>38.523949999999999</v>
      </c>
      <c r="R6" s="262">
        <f t="shared" si="0"/>
        <v>38.523949999999999</v>
      </c>
      <c r="S6" s="262">
        <f t="shared" si="0"/>
        <v>38.523949999999999</v>
      </c>
      <c r="T6" s="262">
        <f t="shared" si="0"/>
        <v>38.523949999999999</v>
      </c>
      <c r="U6" s="262">
        <f t="shared" si="0"/>
        <v>38.783723749999993</v>
      </c>
    </row>
    <row r="7" spans="1:21" ht="18.600000000000001" customHeight="1">
      <c r="A7" s="1">
        <v>3</v>
      </c>
      <c r="B7" s="263" t="s">
        <v>130</v>
      </c>
      <c r="C7" s="264">
        <f>8000/24</f>
        <v>333.33333333333331</v>
      </c>
      <c r="D7" s="265" t="s">
        <v>6</v>
      </c>
      <c r="E7" s="266"/>
      <c r="F7" s="256"/>
      <c r="G7" s="267" t="s">
        <v>278</v>
      </c>
      <c r="H7" s="268">
        <f>H6*1000*24/C6</f>
        <v>136</v>
      </c>
      <c r="I7" s="269" t="s">
        <v>7</v>
      </c>
      <c r="J7" s="270"/>
      <c r="K7" s="67"/>
      <c r="L7" s="74"/>
      <c r="M7" s="66"/>
      <c r="N7" s="76"/>
      <c r="O7" s="271" t="s">
        <v>191</v>
      </c>
      <c r="P7" s="272">
        <f>H25</f>
        <v>3.72</v>
      </c>
      <c r="Q7" s="273">
        <f>P7*(1+$P$28)^7</f>
        <v>3.72</v>
      </c>
      <c r="R7" s="273">
        <f t="shared" ref="R7:R9" si="1">Q7*(1+$P$28)^5</f>
        <v>3.72</v>
      </c>
      <c r="S7" s="273">
        <f>R7*(1+$P$28)^5</f>
        <v>3.72</v>
      </c>
      <c r="T7" s="273">
        <f>R7*(1+$P$28)^10</f>
        <v>3.72</v>
      </c>
      <c r="U7" s="274">
        <f>-'IRR (NG+CCS)'!AC34</f>
        <v>3.8130000000000002</v>
      </c>
    </row>
    <row r="8" spans="1:21" ht="18.600000000000001" customHeight="1">
      <c r="A8" s="1">
        <v>4</v>
      </c>
      <c r="B8" s="275" t="s">
        <v>131</v>
      </c>
      <c r="C8" s="276">
        <v>100</v>
      </c>
      <c r="D8" s="254" t="s">
        <v>8</v>
      </c>
      <c r="E8" s="277" t="s">
        <v>134</v>
      </c>
      <c r="F8" s="256" t="s">
        <v>9</v>
      </c>
      <c r="G8" s="278" t="s">
        <v>163</v>
      </c>
      <c r="H8" s="279">
        <v>32.162999999999997</v>
      </c>
      <c r="I8" s="269" t="s">
        <v>10</v>
      </c>
      <c r="J8" s="270"/>
      <c r="K8" s="67"/>
      <c r="L8" s="74"/>
      <c r="M8" s="66"/>
      <c r="N8" s="76"/>
      <c r="O8" s="280" t="s">
        <v>192</v>
      </c>
      <c r="P8" s="281">
        <f>H26</f>
        <v>18.47475</v>
      </c>
      <c r="Q8" s="273">
        <f>P8*(1+$P$28)^7</f>
        <v>18.47475</v>
      </c>
      <c r="R8" s="273">
        <f t="shared" si="1"/>
        <v>18.47475</v>
      </c>
      <c r="S8" s="273">
        <f>R8*(1+$P$28)^5</f>
        <v>18.47475</v>
      </c>
      <c r="T8" s="273">
        <f>R8*(1+$P$28)^10</f>
        <v>18.47475</v>
      </c>
      <c r="U8" s="282">
        <f>-'IRR (NG+CCS)'!AC36</f>
        <v>18.47475</v>
      </c>
    </row>
    <row r="9" spans="1:21" ht="36" customHeight="1" thickBot="1">
      <c r="A9" s="1">
        <v>5</v>
      </c>
      <c r="B9" s="149" t="s">
        <v>132</v>
      </c>
      <c r="C9" s="283" t="s">
        <v>135</v>
      </c>
      <c r="D9" s="115"/>
      <c r="E9" s="116"/>
      <c r="F9" s="256"/>
      <c r="G9" s="284" t="s">
        <v>164</v>
      </c>
      <c r="H9" s="285">
        <f>H8/C6*1000</f>
        <v>10.721</v>
      </c>
      <c r="I9" s="269" t="s">
        <v>11</v>
      </c>
      <c r="J9" s="270"/>
      <c r="K9" s="67"/>
      <c r="L9" s="74"/>
      <c r="M9" s="66"/>
      <c r="N9" s="76"/>
      <c r="O9" s="286" t="s">
        <v>193</v>
      </c>
      <c r="P9" s="287">
        <f>H27+H29+H28</f>
        <v>16.3292</v>
      </c>
      <c r="Q9" s="273">
        <f>P9*(1+$P$28)^7</f>
        <v>16.3292</v>
      </c>
      <c r="R9" s="273">
        <f t="shared" si="1"/>
        <v>16.3292</v>
      </c>
      <c r="S9" s="273">
        <f>R9*(1+$P$28)^5</f>
        <v>16.3292</v>
      </c>
      <c r="T9" s="273">
        <f>R9*(1+$P$28)^10</f>
        <v>16.3292</v>
      </c>
      <c r="U9" s="288">
        <f>-'IRR (NG+CCS)'!AC35-'IRR (NG+CCS)'!AC37</f>
        <v>16.495973749999997</v>
      </c>
    </row>
    <row r="10" spans="1:21" ht="36" customHeight="1" thickBot="1">
      <c r="A10" s="1">
        <v>6</v>
      </c>
      <c r="B10" s="289" t="s">
        <v>272</v>
      </c>
      <c r="C10" s="290" t="s">
        <v>271</v>
      </c>
      <c r="D10" s="291"/>
      <c r="E10" s="292"/>
      <c r="F10" s="256" t="s">
        <v>13</v>
      </c>
      <c r="G10" s="462" t="s">
        <v>279</v>
      </c>
      <c r="H10" s="293">
        <v>6.1</v>
      </c>
      <c r="I10" s="294" t="s">
        <v>14</v>
      </c>
      <c r="J10" s="295"/>
      <c r="K10" s="73"/>
      <c r="L10" s="141"/>
      <c r="M10" s="72"/>
      <c r="N10" s="76">
        <v>2</v>
      </c>
      <c r="O10" s="463" t="s">
        <v>284</v>
      </c>
      <c r="P10" s="478">
        <f>P11+P12+P13</f>
        <v>137.54183893636386</v>
      </c>
      <c r="Q10" s="478">
        <f t="shared" ref="Q10" si="2">Q11+Q12+Q13</f>
        <v>137.54183893636386</v>
      </c>
      <c r="R10" s="478">
        <f t="shared" ref="R10:S10" si="3">R11+R12+R13</f>
        <v>137.54183893636386</v>
      </c>
      <c r="S10" s="478">
        <f t="shared" si="3"/>
        <v>137.54183893636386</v>
      </c>
      <c r="T10" s="478">
        <f t="shared" ref="T10:U10" si="4">T11+T12+T13</f>
        <v>137.54183893636386</v>
      </c>
      <c r="U10" s="478">
        <f t="shared" si="4"/>
        <v>137.54183893636389</v>
      </c>
    </row>
    <row r="11" spans="1:21" ht="18.600000000000001" customHeight="1">
      <c r="A11" s="1">
        <v>7</v>
      </c>
      <c r="B11" s="569" t="s">
        <v>273</v>
      </c>
      <c r="C11" s="296">
        <v>9</v>
      </c>
      <c r="D11" s="297" t="s">
        <v>15</v>
      </c>
      <c r="E11" s="298" t="s">
        <v>16</v>
      </c>
      <c r="F11" s="256" t="s">
        <v>17</v>
      </c>
      <c r="G11" s="299" t="s">
        <v>165</v>
      </c>
      <c r="H11" s="181"/>
      <c r="I11" s="166"/>
      <c r="J11" s="3"/>
      <c r="K11" s="75"/>
      <c r="M11" s="65"/>
      <c r="N11" s="76"/>
      <c r="O11" s="464" t="s">
        <v>194</v>
      </c>
      <c r="P11" s="479">
        <f>H32</f>
        <v>125.0261118090452</v>
      </c>
      <c r="Q11" s="480">
        <f>P11*(1+$P$27)^7</f>
        <v>125.0261118090452</v>
      </c>
      <c r="R11" s="480">
        <f>Q11*(1+$P$27)^5</f>
        <v>125.0261118090452</v>
      </c>
      <c r="S11" s="480">
        <f>R11*(1+$P$27)^5</f>
        <v>125.0261118090452</v>
      </c>
      <c r="T11" s="480">
        <f>R11*(1+$P$27)^10</f>
        <v>125.0261118090452</v>
      </c>
      <c r="U11" s="481">
        <f>-'IRR (NG+CCS)'!AC38</f>
        <v>125.02611180904522</v>
      </c>
    </row>
    <row r="12" spans="1:21" ht="20.45" customHeight="1" thickBot="1">
      <c r="B12" s="570"/>
      <c r="C12" s="300">
        <f>C11*1000/(D40*238.8)</f>
        <v>0.69664403347606785</v>
      </c>
      <c r="D12" s="301" t="s">
        <v>18</v>
      </c>
      <c r="E12" s="302" t="s">
        <v>16</v>
      </c>
      <c r="F12" s="3"/>
      <c r="G12" s="303" t="s">
        <v>19</v>
      </c>
      <c r="H12" s="304">
        <f>J12*L12</f>
        <v>2</v>
      </c>
      <c r="I12" s="305" t="s">
        <v>166</v>
      </c>
      <c r="J12" s="79">
        <v>2</v>
      </c>
      <c r="K12" s="306" t="s">
        <v>168</v>
      </c>
      <c r="L12" s="78">
        <v>1</v>
      </c>
      <c r="M12" s="65" t="s">
        <v>169</v>
      </c>
      <c r="N12" s="76"/>
      <c r="O12" s="465" t="s">
        <v>195</v>
      </c>
      <c r="P12" s="482">
        <f>H36</f>
        <v>-13.249472872681334</v>
      </c>
      <c r="Q12" s="480">
        <f>P12*(1+$P$28)^7</f>
        <v>-13.249472872681334</v>
      </c>
      <c r="R12" s="480">
        <f>Q12*(1+$P$28)^5</f>
        <v>-13.249472872681334</v>
      </c>
      <c r="S12" s="480">
        <f>R12*(1+$P$28)^5</f>
        <v>-13.249472872681334</v>
      </c>
      <c r="T12" s="480">
        <f>R12*(1+$P$28)^10</f>
        <v>-13.249472872681334</v>
      </c>
      <c r="U12" s="362">
        <f>IF(P28=0, T12,P12*(1-(1+$P$28)^20)/(1-(1+$P$28))/20)</f>
        <v>-13.249472872681334</v>
      </c>
    </row>
    <row r="13" spans="1:21" ht="24" customHeight="1">
      <c r="A13" s="1">
        <v>8</v>
      </c>
      <c r="B13" s="307" t="s">
        <v>136</v>
      </c>
      <c r="C13" s="308">
        <f>C12*C6</f>
        <v>2089.9321004282037</v>
      </c>
      <c r="D13" s="309" t="s">
        <v>20</v>
      </c>
      <c r="E13" s="310"/>
      <c r="F13" s="3"/>
      <c r="G13" s="311" t="s">
        <v>21</v>
      </c>
      <c r="H13" s="312">
        <f>J13*L13</f>
        <v>4</v>
      </c>
      <c r="I13" s="313" t="s">
        <v>166</v>
      </c>
      <c r="J13" s="82">
        <v>1</v>
      </c>
      <c r="K13" s="314" t="s">
        <v>168</v>
      </c>
      <c r="L13" s="607">
        <f>3+1</f>
        <v>4</v>
      </c>
      <c r="M13" s="83" t="s">
        <v>169</v>
      </c>
      <c r="N13" s="76"/>
      <c r="O13" s="464" t="s">
        <v>196</v>
      </c>
      <c r="P13" s="479">
        <f>H33+H34+H35</f>
        <v>25.7652</v>
      </c>
      <c r="Q13" s="480">
        <f>P13*(1+$P$28)^7</f>
        <v>25.7652</v>
      </c>
      <c r="R13" s="480">
        <f>Q13*(1+$P$28)^5</f>
        <v>25.7652</v>
      </c>
      <c r="S13" s="480">
        <f>R13*(1+$P$28)^5</f>
        <v>25.7652</v>
      </c>
      <c r="T13" s="480">
        <f>R13*(1+$P$28)^10</f>
        <v>25.7652</v>
      </c>
      <c r="U13" s="362">
        <f>IF(P28=0,T13,P13*(1-(1+$P$28)^20)/(1-(1+$P$28))/20)</f>
        <v>25.7652</v>
      </c>
    </row>
    <row r="14" spans="1:21" ht="19.5">
      <c r="A14" s="1">
        <v>9</v>
      </c>
      <c r="B14" s="583" t="s">
        <v>274</v>
      </c>
      <c r="C14" s="315">
        <f>'IRR (NG+CCS)'!G4</f>
        <v>3.5</v>
      </c>
      <c r="D14" s="316" t="s">
        <v>22</v>
      </c>
      <c r="E14" s="317" t="s">
        <v>16</v>
      </c>
      <c r="F14" s="3"/>
      <c r="G14" s="318" t="s">
        <v>23</v>
      </c>
      <c r="H14" s="319">
        <v>28</v>
      </c>
      <c r="I14" s="320" t="s">
        <v>166</v>
      </c>
      <c r="J14" s="84">
        <v>6</v>
      </c>
      <c r="K14" s="321" t="s">
        <v>168</v>
      </c>
      <c r="L14" s="85">
        <f>L13</f>
        <v>4</v>
      </c>
      <c r="M14" s="66" t="s">
        <v>169</v>
      </c>
      <c r="N14" s="76">
        <v>3</v>
      </c>
      <c r="O14" s="466" t="s">
        <v>285</v>
      </c>
      <c r="P14" s="478">
        <f>P15+P16</f>
        <v>102.14514922499998</v>
      </c>
      <c r="Q14" s="478">
        <f t="shared" ref="Q14:T14" si="5">Q15+Q16</f>
        <v>90.687922920000005</v>
      </c>
      <c r="R14" s="478">
        <f t="shared" si="5"/>
        <v>82.504189844999999</v>
      </c>
      <c r="S14" s="478">
        <f t="shared" si="5"/>
        <v>0</v>
      </c>
      <c r="T14" s="478">
        <f t="shared" si="5"/>
        <v>0</v>
      </c>
      <c r="U14" s="478">
        <f>U15+U16</f>
        <v>68.01594218999999</v>
      </c>
    </row>
    <row r="15" spans="1:21" ht="17.25" thickBot="1">
      <c r="B15" s="584"/>
      <c r="C15" s="322">
        <f>C14*D40*1000*9.47817*100/10^6</f>
        <v>179.46914895</v>
      </c>
      <c r="D15" s="323" t="s">
        <v>24</v>
      </c>
      <c r="E15" s="324"/>
      <c r="F15" s="3"/>
      <c r="G15" s="325" t="s">
        <v>25</v>
      </c>
      <c r="H15" s="326">
        <f>J15*L15</f>
        <v>16</v>
      </c>
      <c r="I15" s="327" t="s">
        <v>166</v>
      </c>
      <c r="J15" s="143">
        <v>4</v>
      </c>
      <c r="K15" s="328" t="s">
        <v>168</v>
      </c>
      <c r="L15" s="608">
        <f>L13</f>
        <v>4</v>
      </c>
      <c r="M15" s="144" t="s">
        <v>169</v>
      </c>
      <c r="N15" s="76"/>
      <c r="O15" s="467" t="s">
        <v>197</v>
      </c>
      <c r="P15" s="329">
        <f>-'IRR (NG+CCS)'!G52/'IRR (NG+CCS)'!$C$12</f>
        <v>77.593949999999992</v>
      </c>
      <c r="Q15" s="329">
        <f>-'IRR (NG+CCS)'!N52/'IRR (NG+CCS)'!$C$12</f>
        <v>77.593949999999992</v>
      </c>
      <c r="R15" s="329">
        <f>-'IRR (NG+CCS)'!S52/'IRR (NG+CCS)'!$C$12</f>
        <v>77.593949999999992</v>
      </c>
      <c r="S15" s="329">
        <f>-'IRR (NG+CCS)'!X52/'IRR (NG+CCS)'!$C$12</f>
        <v>0</v>
      </c>
      <c r="T15" s="329">
        <f>-'IRR (NG+CCS)'!Z52/'IRR (NG+CCS)'!$C$12</f>
        <v>0</v>
      </c>
      <c r="U15" s="329">
        <f>-'IRR (NG+CCS)'!AC52</f>
        <v>58.195462499999991</v>
      </c>
    </row>
    <row r="16" spans="1:21" ht="16.5" thickBot="1">
      <c r="A16" s="1">
        <v>10</v>
      </c>
      <c r="B16" s="246" t="s">
        <v>137</v>
      </c>
      <c r="C16" s="2"/>
      <c r="D16" s="111"/>
      <c r="E16" s="70"/>
      <c r="F16" s="3"/>
      <c r="G16" s="330" t="s">
        <v>26</v>
      </c>
      <c r="H16" s="331">
        <f>J16*L16</f>
        <v>6</v>
      </c>
      <c r="I16" s="332" t="s">
        <v>166</v>
      </c>
      <c r="J16" s="80">
        <v>6</v>
      </c>
      <c r="K16" s="333" t="s">
        <v>168</v>
      </c>
      <c r="L16" s="81">
        <v>1</v>
      </c>
      <c r="M16" s="72" t="s">
        <v>169</v>
      </c>
      <c r="N16" s="76"/>
      <c r="O16" s="468" t="s">
        <v>286</v>
      </c>
      <c r="P16" s="334">
        <f>-'IRR (NG+CCS)'!G42/'IRR (NG+CCS)'!$C$12</f>
        <v>24.551199224999998</v>
      </c>
      <c r="Q16" s="334">
        <f>-'IRR (NG+CCS)'!N42/'IRR (NG+CCS)'!$C$12</f>
        <v>13.093972920000006</v>
      </c>
      <c r="R16" s="334">
        <f>-'IRR (NG+CCS)'!S42/'IRR (NG+CCS)'!$C$12</f>
        <v>4.9102398450000067</v>
      </c>
      <c r="S16" s="334">
        <f>-'IRR (NG+CCS)'!X42/'IRR (NG+CCS)'!$C$12</f>
        <v>0</v>
      </c>
      <c r="T16" s="334">
        <f>-'IRR (NG+CCS)'!Z42/'IRR (NG+CCS)'!$C$12</f>
        <v>0</v>
      </c>
      <c r="U16" s="334">
        <f>-'IRR (NG+CCS)'!AC42</f>
        <v>9.8204796900000026</v>
      </c>
    </row>
    <row r="17" spans="1:27" ht="23.45" customHeight="1" thickBot="1">
      <c r="B17" s="335" t="s">
        <v>138</v>
      </c>
      <c r="C17" s="336">
        <f>C12*D43</f>
        <v>1.8927818389544764</v>
      </c>
      <c r="D17" s="297" t="s">
        <v>27</v>
      </c>
      <c r="E17" s="337" t="s">
        <v>142</v>
      </c>
      <c r="F17" s="3"/>
      <c r="G17" s="338" t="s">
        <v>147</v>
      </c>
      <c r="H17" s="339">
        <f>SUM(H12:H16)</f>
        <v>56</v>
      </c>
      <c r="I17" s="332" t="s">
        <v>167</v>
      </c>
      <c r="J17" s="340"/>
      <c r="K17" s="71"/>
      <c r="L17" s="141"/>
      <c r="M17" s="72"/>
      <c r="N17" s="76">
        <v>4</v>
      </c>
      <c r="O17" s="469" t="s">
        <v>198</v>
      </c>
      <c r="P17" s="341">
        <f>-'IRR (NG+CCS)'!G62/'IRR (NG+CCS)'!$C$12</f>
        <v>2.8578123677272207</v>
      </c>
      <c r="Q17" s="341">
        <f>-'IRR (NG+CCS)'!N62/'IRR (NG+CCS)'!$C$12</f>
        <v>5.1492576287272183</v>
      </c>
      <c r="R17" s="341">
        <f>-'IRR (NG+CCS)'!S62/'IRR (NG+CCS)'!$C$12</f>
        <v>6.7860042437272199</v>
      </c>
      <c r="S17" s="341">
        <f>-'IRR (NG+CCS)'!X62/'IRR (NG+CCS)'!$C$12</f>
        <v>23.286842212727223</v>
      </c>
      <c r="T17" s="341">
        <f>-'IRR (NG+CCS)'!Z62/'IRR (NG+CCS)'!$C$12</f>
        <v>23.286842212727223</v>
      </c>
      <c r="U17" s="341">
        <f>-'IRR (NG+CCS)'!AC62</f>
        <v>9.6836537747272224</v>
      </c>
    </row>
    <row r="18" spans="1:27" ht="16.149999999999999" customHeight="1" thickBot="1">
      <c r="B18" s="567" t="s">
        <v>139</v>
      </c>
      <c r="C18" s="342">
        <f>C17*C6*C20</f>
        <v>3974.8418618044002</v>
      </c>
      <c r="D18" s="343" t="s">
        <v>28</v>
      </c>
      <c r="E18" s="563" t="s">
        <v>143</v>
      </c>
      <c r="N18" s="76">
        <v>5</v>
      </c>
      <c r="O18" s="470" t="s">
        <v>199</v>
      </c>
      <c r="P18" s="344">
        <f>'IRR (NG+CCS)'!G63/'IRR (NG+CCS)'!$C$12</f>
        <v>11.431249470908883</v>
      </c>
      <c r="Q18" s="344">
        <f>'IRR (NG+CCS)'!N63/'IRR (NG+CCS)'!$C$12</f>
        <v>20.597030514908873</v>
      </c>
      <c r="R18" s="344">
        <f>'IRR (NG+CCS)'!S63/'IRR (NG+CCS)'!$C$12</f>
        <v>27.144016974908876</v>
      </c>
      <c r="S18" s="344">
        <f>'IRR (NG+CCS)'!X63/'IRR (NG+CCS)'!$C$12</f>
        <v>93.14736885090889</v>
      </c>
      <c r="T18" s="344">
        <f>'IRR (NG+CCS)'!Z63/'IRR (NG+CCS)'!$C$12</f>
        <v>93.14736885090889</v>
      </c>
      <c r="U18" s="344">
        <f>'IRR (NG+CCS)'!AC63</f>
        <v>38.474841348908889</v>
      </c>
    </row>
    <row r="19" spans="1:27" ht="17.25" thickBot="1">
      <c r="B19" s="568"/>
      <c r="C19" s="345">
        <f>C18*C7</f>
        <v>1324947.2872681334</v>
      </c>
      <c r="D19" s="346" t="s">
        <v>29</v>
      </c>
      <c r="E19" s="564"/>
      <c r="G19" s="595" t="s">
        <v>170</v>
      </c>
      <c r="H19" s="596"/>
      <c r="I19" s="596"/>
      <c r="J19" s="596"/>
      <c r="K19" s="347" t="s">
        <v>30</v>
      </c>
      <c r="L19" s="550">
        <f>'IRR (NG+CCS)'!G14</f>
        <v>8.9928103172148832E-2</v>
      </c>
      <c r="M19" s="551"/>
      <c r="O19" s="471" t="s">
        <v>293</v>
      </c>
      <c r="P19" s="348">
        <f>P15*$P$29+P18</f>
        <v>34.709434470908882</v>
      </c>
      <c r="Q19" s="349">
        <f t="shared" ref="Q19:R19" si="6">Q15*$P$29+Q18</f>
        <v>43.875215514908874</v>
      </c>
      <c r="R19" s="349">
        <f t="shared" si="6"/>
        <v>50.422201974908873</v>
      </c>
      <c r="S19" s="349">
        <f>S15*$P$29+S18</f>
        <v>93.14736885090889</v>
      </c>
      <c r="T19" s="349">
        <f>T15*$P$29+T18</f>
        <v>93.14736885090889</v>
      </c>
      <c r="U19" s="348">
        <f>U15*$P$29+U18</f>
        <v>55.933480098908888</v>
      </c>
      <c r="W19" s="97"/>
      <c r="X19" s="97"/>
      <c r="Y19" s="97"/>
      <c r="Z19" s="97"/>
      <c r="AA19" s="97"/>
    </row>
    <row r="20" spans="1:27" ht="33.75" customHeight="1" thickTop="1">
      <c r="B20" s="350" t="s">
        <v>140</v>
      </c>
      <c r="C20" s="351">
        <v>0.7</v>
      </c>
      <c r="D20" s="565" t="s">
        <v>144</v>
      </c>
      <c r="E20" s="566"/>
      <c r="G20" s="560" t="s">
        <v>171</v>
      </c>
      <c r="H20" s="561"/>
      <c r="I20" s="561"/>
      <c r="J20" s="561"/>
      <c r="K20" s="561"/>
      <c r="L20" s="561"/>
      <c r="M20" s="562"/>
      <c r="N20" s="76">
        <v>6</v>
      </c>
      <c r="O20" s="469" t="s">
        <v>200</v>
      </c>
      <c r="P20" s="341">
        <f>'IRR (NG+CCS)'!C14</f>
        <v>292.5</v>
      </c>
      <c r="Q20" s="352">
        <f>P20*(1+$P$26)^7</f>
        <v>292.5</v>
      </c>
      <c r="R20" s="352">
        <f>Q20*(1+$P$26)^5</f>
        <v>292.5</v>
      </c>
      <c r="S20" s="352">
        <f>R20*(1+$P$26)^5</f>
        <v>292.5</v>
      </c>
      <c r="T20" s="352">
        <f>R20*(1+$P$26)^10</f>
        <v>292.5</v>
      </c>
      <c r="U20" s="353">
        <f>'IRR (NG+CCS)'!AC28</f>
        <v>292.5</v>
      </c>
      <c r="W20" s="97"/>
    </row>
    <row r="21" spans="1:27" ht="17.25" thickBot="1">
      <c r="A21" s="1">
        <v>11</v>
      </c>
      <c r="B21" s="354" t="s">
        <v>141</v>
      </c>
      <c r="C21" s="355"/>
      <c r="D21" s="356" t="s">
        <v>31</v>
      </c>
      <c r="E21" s="357"/>
      <c r="F21" s="1">
        <v>1</v>
      </c>
      <c r="G21" s="358" t="s">
        <v>172</v>
      </c>
      <c r="H21" s="359" t="s">
        <v>167</v>
      </c>
      <c r="I21" s="597" t="s">
        <v>173</v>
      </c>
      <c r="J21" s="598"/>
      <c r="K21" s="92"/>
      <c r="L21" s="534"/>
      <c r="M21" s="535"/>
      <c r="N21" s="76">
        <v>7</v>
      </c>
      <c r="O21" s="472" t="s">
        <v>287</v>
      </c>
      <c r="P21" s="360">
        <f>H41</f>
        <v>42</v>
      </c>
      <c r="Q21" s="361">
        <f>P21*(1+$P$28)^7</f>
        <v>42</v>
      </c>
      <c r="R21" s="361">
        <f>Q21*(1+$P$28)^5</f>
        <v>42</v>
      </c>
      <c r="S21" s="361">
        <f>R21*(1+$P$28)^5</f>
        <v>42</v>
      </c>
      <c r="T21" s="361">
        <f>R21*(1+$P$28)^10</f>
        <v>42</v>
      </c>
      <c r="U21" s="362">
        <f>IF(P28=0,T21,P21*(1-(1+$P$28)^20)/(1-(1+$P$28))/20)</f>
        <v>42</v>
      </c>
    </row>
    <row r="22" spans="1:27" ht="16.5">
      <c r="B22" s="363" t="s">
        <v>32</v>
      </c>
      <c r="C22" s="2"/>
      <c r="D22" s="111"/>
      <c r="E22" s="70"/>
      <c r="G22" s="364" t="s">
        <v>33</v>
      </c>
      <c r="H22" s="365">
        <f>SUM(H12,H13)</f>
        <v>6</v>
      </c>
      <c r="I22" s="599">
        <v>120</v>
      </c>
      <c r="J22" s="600"/>
      <c r="K22" s="92"/>
      <c r="L22" s="534"/>
      <c r="M22" s="535"/>
      <c r="N22" s="76">
        <v>8</v>
      </c>
      <c r="O22" s="473" t="s">
        <v>201</v>
      </c>
      <c r="P22" s="366">
        <f>SUM(P20:P21)</f>
        <v>334.5</v>
      </c>
      <c r="Q22" s="366">
        <f t="shared" ref="Q22:U22" si="7">SUM(Q20:Q21)</f>
        <v>334.5</v>
      </c>
      <c r="R22" s="366">
        <f t="shared" si="7"/>
        <v>334.5</v>
      </c>
      <c r="S22" s="366">
        <f t="shared" ref="S22" si="8">SUM(S20:S21)</f>
        <v>334.5</v>
      </c>
      <c r="T22" s="366">
        <f t="shared" si="7"/>
        <v>334.5</v>
      </c>
      <c r="U22" s="366">
        <f t="shared" si="7"/>
        <v>334.5</v>
      </c>
    </row>
    <row r="23" spans="1:27" ht="16.5">
      <c r="B23" s="367" t="s">
        <v>34</v>
      </c>
      <c r="C23" s="368">
        <v>700000</v>
      </c>
      <c r="D23" s="369"/>
      <c r="E23" s="370"/>
      <c r="G23" s="371" t="s">
        <v>35</v>
      </c>
      <c r="H23" s="372">
        <f>SUM(H15,H16)</f>
        <v>22</v>
      </c>
      <c r="I23" s="518">
        <v>60</v>
      </c>
      <c r="J23" s="519"/>
      <c r="K23" s="92"/>
      <c r="L23" s="534"/>
      <c r="M23" s="535"/>
      <c r="O23" s="474" t="s">
        <v>288</v>
      </c>
    </row>
    <row r="24" spans="1:27" ht="16.5">
      <c r="B24" s="373" t="s">
        <v>36</v>
      </c>
      <c r="C24" s="374">
        <f>C23*0.5</f>
        <v>350000</v>
      </c>
      <c r="D24" s="375"/>
      <c r="E24" s="376" t="s">
        <v>37</v>
      </c>
      <c r="G24" s="377" t="s">
        <v>38</v>
      </c>
      <c r="H24" s="378">
        <f>H14</f>
        <v>28</v>
      </c>
      <c r="I24" s="520">
        <v>60</v>
      </c>
      <c r="J24" s="521"/>
      <c r="K24" s="92"/>
      <c r="L24" s="534"/>
      <c r="M24" s="535"/>
      <c r="O24" s="236" t="s">
        <v>202</v>
      </c>
      <c r="P24" s="97"/>
      <c r="Q24" s="97"/>
      <c r="R24" s="97"/>
      <c r="S24" s="97"/>
      <c r="T24" s="97"/>
      <c r="U24" s="97"/>
    </row>
    <row r="25" spans="1:27" ht="16.5">
      <c r="B25" s="380" t="s">
        <v>145</v>
      </c>
      <c r="C25" s="381">
        <v>20000</v>
      </c>
      <c r="D25" s="382"/>
      <c r="E25" s="383" t="s">
        <v>39</v>
      </c>
      <c r="G25" s="384" t="s">
        <v>174</v>
      </c>
      <c r="H25" s="385">
        <f>(H22*I22+H23*I23+H24*I24)/(C5*C8/100)*1000</f>
        <v>3.72</v>
      </c>
      <c r="I25" s="532" t="s">
        <v>40</v>
      </c>
      <c r="J25" s="533"/>
      <c r="K25" s="93"/>
      <c r="L25" s="530"/>
      <c r="M25" s="531"/>
      <c r="O25" s="475" t="s">
        <v>203</v>
      </c>
      <c r="P25" s="386">
        <f>'IRR (NG+CCS)'!C15</f>
        <v>0.03</v>
      </c>
      <c r="Q25" s="108" t="s">
        <v>41</v>
      </c>
      <c r="R25" s="387"/>
      <c r="S25" s="387"/>
      <c r="T25" s="387"/>
      <c r="U25" s="387"/>
    </row>
    <row r="26" spans="1:27">
      <c r="B26" s="388" t="s">
        <v>295</v>
      </c>
      <c r="C26" s="368">
        <v>120000</v>
      </c>
      <c r="D26" s="369"/>
      <c r="E26" s="370" t="s">
        <v>42</v>
      </c>
      <c r="F26" s="1">
        <v>2</v>
      </c>
      <c r="G26" s="389" t="s">
        <v>175</v>
      </c>
      <c r="H26" s="390">
        <f>C32*1000*M26/(C5*C8/100)</f>
        <v>18.47475</v>
      </c>
      <c r="I26" s="528" t="s">
        <v>40</v>
      </c>
      <c r="J26" s="529"/>
      <c r="K26" s="522" t="s">
        <v>43</v>
      </c>
      <c r="L26" s="523"/>
      <c r="M26" s="391">
        <v>1.4999999999999999E-2</v>
      </c>
      <c r="O26" s="476" t="s">
        <v>204</v>
      </c>
      <c r="P26" s="392">
        <f>'IRR (NG+CCS)'!C16</f>
        <v>0</v>
      </c>
      <c r="Q26" s="109" t="s">
        <v>41</v>
      </c>
      <c r="R26" s="393"/>
      <c r="S26" s="393"/>
      <c r="T26" s="393"/>
      <c r="U26" s="393"/>
    </row>
    <row r="27" spans="1:27">
      <c r="B27" s="394" t="s">
        <v>146</v>
      </c>
      <c r="C27" s="395">
        <f>C24+C25+C26</f>
        <v>490000</v>
      </c>
      <c r="D27" s="396"/>
      <c r="E27" s="397" t="s">
        <v>44</v>
      </c>
      <c r="F27" s="1">
        <v>3</v>
      </c>
      <c r="G27" s="389" t="s">
        <v>280</v>
      </c>
      <c r="H27" s="390">
        <f>H25*0.8+H26*0.2</f>
        <v>6.6709500000000013</v>
      </c>
      <c r="I27" s="528" t="s">
        <v>40</v>
      </c>
      <c r="J27" s="529"/>
      <c r="K27" s="522" t="s">
        <v>45</v>
      </c>
      <c r="L27" s="524"/>
      <c r="M27" s="525"/>
      <c r="O27" s="476" t="s">
        <v>205</v>
      </c>
      <c r="P27" s="392">
        <f>'IRR (NG+CCS)'!C17</f>
        <v>0</v>
      </c>
      <c r="Q27" s="109" t="s">
        <v>41</v>
      </c>
      <c r="R27" s="393"/>
      <c r="S27" s="393"/>
      <c r="T27" s="393"/>
      <c r="U27" s="393"/>
    </row>
    <row r="28" spans="1:27">
      <c r="B28" s="398" t="s">
        <v>46</v>
      </c>
      <c r="C28" s="399">
        <f>(C23+C27)</f>
        <v>1190000</v>
      </c>
      <c r="D28" s="396"/>
      <c r="E28" s="397" t="s">
        <v>47</v>
      </c>
      <c r="F28" s="1">
        <v>4</v>
      </c>
      <c r="G28" s="389" t="s">
        <v>281</v>
      </c>
      <c r="H28" s="390">
        <f>C24*M28/(C5*C8/100)*1000</f>
        <v>3.5</v>
      </c>
      <c r="I28" s="528" t="s">
        <v>40</v>
      </c>
      <c r="J28" s="529"/>
      <c r="K28" s="538" t="s">
        <v>297</v>
      </c>
      <c r="L28" s="539"/>
      <c r="M28" s="400">
        <v>0.01</v>
      </c>
      <c r="O28" s="476" t="s">
        <v>206</v>
      </c>
      <c r="P28" s="392">
        <f>'IRR (NG+CCS)'!C18</f>
        <v>0</v>
      </c>
      <c r="Q28" s="109" t="s">
        <v>41</v>
      </c>
      <c r="R28" s="393"/>
      <c r="S28" s="393"/>
      <c r="T28" s="393"/>
      <c r="U28" s="393"/>
    </row>
    <row r="29" spans="1:27" ht="18.600000000000001" customHeight="1" thickBot="1">
      <c r="B29" s="401" t="s">
        <v>275</v>
      </c>
      <c r="C29" s="402">
        <f>C28*E29</f>
        <v>178500</v>
      </c>
      <c r="D29" s="403" t="s">
        <v>277</v>
      </c>
      <c r="E29" s="404">
        <f>'IRR (NG+CCS)'!G6</f>
        <v>0.15</v>
      </c>
      <c r="F29" s="1">
        <v>5</v>
      </c>
      <c r="G29" s="405" t="s">
        <v>176</v>
      </c>
      <c r="H29" s="406">
        <f>C32*1000*M29/(C5*C8/100)</f>
        <v>6.1582499999999998</v>
      </c>
      <c r="I29" s="540" t="s">
        <v>40</v>
      </c>
      <c r="J29" s="541"/>
      <c r="K29" s="526" t="s">
        <v>43</v>
      </c>
      <c r="L29" s="527"/>
      <c r="M29" s="391">
        <v>5.0000000000000001E-3</v>
      </c>
      <c r="O29" s="477" t="s">
        <v>289</v>
      </c>
      <c r="P29" s="407">
        <f>'IRR (NG+CCS)'!C19</f>
        <v>0.3</v>
      </c>
      <c r="Q29" s="110" t="s">
        <v>41</v>
      </c>
      <c r="R29" s="408"/>
      <c r="S29" s="408"/>
      <c r="T29" s="408"/>
      <c r="U29" s="408"/>
    </row>
    <row r="30" spans="1:27" ht="19.149999999999999" customHeight="1" thickBot="1">
      <c r="B30" s="409" t="s">
        <v>147</v>
      </c>
      <c r="C30" s="399">
        <f>C28+C29</f>
        <v>1368500</v>
      </c>
      <c r="D30" s="396"/>
      <c r="E30" s="397" t="s">
        <v>48</v>
      </c>
      <c r="F30" s="140"/>
      <c r="G30" s="410" t="s">
        <v>147</v>
      </c>
      <c r="H30" s="411">
        <f>SUM(H25:H29)</f>
        <v>38.523950000000006</v>
      </c>
      <c r="I30" s="576" t="s">
        <v>40</v>
      </c>
      <c r="J30" s="577"/>
      <c r="K30" s="412"/>
      <c r="L30" s="127"/>
      <c r="M30" s="413"/>
      <c r="O30" s="414" t="s">
        <v>207</v>
      </c>
      <c r="P30" s="415">
        <f>'IRR (NG+CCS)'!C20</f>
        <v>0.2</v>
      </c>
      <c r="Q30" s="120" t="s">
        <v>41</v>
      </c>
      <c r="R30" s="416"/>
      <c r="S30" s="416"/>
      <c r="T30" s="416"/>
      <c r="U30" s="416"/>
    </row>
    <row r="31" spans="1:27" ht="22.9" customHeight="1" thickTop="1" thickBot="1">
      <c r="B31" s="401" t="s">
        <v>276</v>
      </c>
      <c r="C31" s="461">
        <f>-C30*E31</f>
        <v>-136850</v>
      </c>
      <c r="D31" s="417" t="s">
        <v>292</v>
      </c>
      <c r="E31" s="418">
        <v>0.1</v>
      </c>
      <c r="G31" s="580" t="s">
        <v>177</v>
      </c>
      <c r="H31" s="581"/>
      <c r="I31" s="581"/>
      <c r="J31" s="581"/>
      <c r="K31" s="581"/>
      <c r="L31" s="581"/>
      <c r="M31" s="582"/>
      <c r="O31" s="152"/>
      <c r="P31" s="3"/>
      <c r="R31" s="3"/>
      <c r="S31" s="3"/>
    </row>
    <row r="32" spans="1:27" ht="20.45" customHeight="1" thickBot="1">
      <c r="B32" s="419" t="s">
        <v>148</v>
      </c>
      <c r="C32" s="420">
        <f>C30+C31</f>
        <v>1231650</v>
      </c>
      <c r="D32" s="421"/>
      <c r="E32" s="422"/>
      <c r="F32" s="76">
        <v>1</v>
      </c>
      <c r="G32" s="491" t="s">
        <v>271</v>
      </c>
      <c r="H32" s="492">
        <f>C15*C12</f>
        <v>125.0261118090452</v>
      </c>
      <c r="I32" s="536" t="s">
        <v>40</v>
      </c>
      <c r="J32" s="537"/>
      <c r="K32" s="423"/>
      <c r="L32" s="424"/>
      <c r="M32" s="425"/>
      <c r="O32" s="516" t="s">
        <v>208</v>
      </c>
      <c r="P32" s="517"/>
      <c r="Q32" s="3"/>
      <c r="R32" s="86"/>
      <c r="S32" s="426" t="s">
        <v>215</v>
      </c>
    </row>
    <row r="33" spans="2:19" ht="36" customHeight="1" thickBot="1">
      <c r="B33" s="427" t="s">
        <v>149</v>
      </c>
      <c r="C33" s="428">
        <f>C32*E33</f>
        <v>1108485</v>
      </c>
      <c r="D33" s="429" t="s">
        <v>152</v>
      </c>
      <c r="E33" s="430">
        <v>0.9</v>
      </c>
      <c r="F33" s="76">
        <v>2</v>
      </c>
      <c r="G33" s="491" t="s">
        <v>162</v>
      </c>
      <c r="H33" s="493">
        <f>K33*H7</f>
        <v>6.8000000000000007</v>
      </c>
      <c r="I33" s="578" t="s">
        <v>40</v>
      </c>
      <c r="J33" s="579"/>
      <c r="K33" s="571">
        <v>0.05</v>
      </c>
      <c r="L33" s="572"/>
      <c r="M33" s="494" t="s">
        <v>49</v>
      </c>
      <c r="P33" s="96" t="s">
        <v>40</v>
      </c>
      <c r="R33" s="87"/>
      <c r="S33" s="426" t="s">
        <v>216</v>
      </c>
    </row>
    <row r="34" spans="2:19" ht="19.899999999999999" customHeight="1">
      <c r="B34" s="431" t="s">
        <v>50</v>
      </c>
      <c r="C34" s="432">
        <f>'IRR (NG+CCS)'!C10</f>
        <v>55424.25</v>
      </c>
      <c r="D34" s="515" t="s">
        <v>153</v>
      </c>
      <c r="E34" s="433">
        <f>'IRR (NG+CCS)'!C11</f>
        <v>0.05</v>
      </c>
      <c r="F34" s="76">
        <v>3</v>
      </c>
      <c r="G34" s="491" t="s">
        <v>163</v>
      </c>
      <c r="H34" s="495">
        <f>K34*H9</f>
        <v>12.8652</v>
      </c>
      <c r="I34" s="578" t="s">
        <v>40</v>
      </c>
      <c r="J34" s="579"/>
      <c r="K34" s="573">
        <v>1.2</v>
      </c>
      <c r="L34" s="572"/>
      <c r="M34" s="494" t="s">
        <v>51</v>
      </c>
      <c r="N34" s="1">
        <v>1</v>
      </c>
      <c r="O34" s="487" t="s">
        <v>209</v>
      </c>
      <c r="P34" s="360">
        <f>P11</f>
        <v>125.0261118090452</v>
      </c>
      <c r="R34" s="88"/>
      <c r="S34" s="434" t="s">
        <v>217</v>
      </c>
    </row>
    <row r="35" spans="2:19" ht="20.45" customHeight="1" thickBot="1">
      <c r="B35" s="435" t="s">
        <v>150</v>
      </c>
      <c r="C35" s="436">
        <f>SUM(C33:C34)</f>
        <v>1163909.25</v>
      </c>
      <c r="D35" s="421"/>
      <c r="E35" s="422"/>
      <c r="F35" s="76">
        <v>4</v>
      </c>
      <c r="G35" s="491" t="s">
        <v>282</v>
      </c>
      <c r="H35" s="496">
        <f>H10</f>
        <v>6.1</v>
      </c>
      <c r="I35" s="578" t="s">
        <v>40</v>
      </c>
      <c r="J35" s="579"/>
      <c r="K35" s="437"/>
      <c r="L35" s="497"/>
      <c r="M35" s="498"/>
      <c r="N35" s="1">
        <v>2</v>
      </c>
      <c r="O35" s="487" t="s">
        <v>210</v>
      </c>
      <c r="P35" s="360">
        <f>P20-P11-P12</f>
        <v>180.72336106363613</v>
      </c>
    </row>
    <row r="36" spans="2:19" ht="33.75" customHeight="1" thickBot="1">
      <c r="B36" s="438" t="s">
        <v>151</v>
      </c>
      <c r="C36" s="439">
        <f>'IRR (NG+CCS)'!G10</f>
        <v>15</v>
      </c>
      <c r="D36" s="440" t="s">
        <v>154</v>
      </c>
      <c r="E36" s="441"/>
      <c r="F36" s="76">
        <v>5</v>
      </c>
      <c r="G36" s="499" t="s">
        <v>283</v>
      </c>
      <c r="H36" s="500">
        <f>K36*C19/(C5*C8/100)</f>
        <v>-13.249472872681334</v>
      </c>
      <c r="I36" s="536" t="s">
        <v>40</v>
      </c>
      <c r="J36" s="537"/>
      <c r="K36" s="574">
        <v>-10</v>
      </c>
      <c r="L36" s="575"/>
      <c r="M36" s="501" t="s">
        <v>52</v>
      </c>
      <c r="N36" s="1">
        <v>3</v>
      </c>
      <c r="O36" s="483" t="s">
        <v>290</v>
      </c>
      <c r="P36" s="360">
        <f>P12</f>
        <v>-13.249472872681334</v>
      </c>
    </row>
    <row r="37" spans="2:19" ht="18.600000000000001" customHeight="1" thickBot="1">
      <c r="G37" s="442" t="s">
        <v>147</v>
      </c>
      <c r="H37" s="502">
        <f>SUM(H32:H36)</f>
        <v>137.54183893636386</v>
      </c>
      <c r="I37" s="589" t="s">
        <v>40</v>
      </c>
      <c r="J37" s="590"/>
      <c r="K37" s="503"/>
      <c r="L37" s="504"/>
      <c r="M37" s="505"/>
      <c r="O37" s="484" t="s">
        <v>211</v>
      </c>
      <c r="P37" s="488">
        <f>SUM(P34:P36)</f>
        <v>292.5</v>
      </c>
    </row>
    <row r="38" spans="2:19" ht="38.25" customHeight="1" thickBot="1">
      <c r="B38" s="547" t="s">
        <v>155</v>
      </c>
      <c r="C38" s="593"/>
      <c r="D38" s="594"/>
      <c r="E38" s="3"/>
      <c r="F38" s="3"/>
      <c r="G38" s="443" t="s">
        <v>53</v>
      </c>
      <c r="H38" s="444">
        <f>H37+H30</f>
        <v>176.06578893636387</v>
      </c>
      <c r="I38" s="601" t="s">
        <v>40</v>
      </c>
      <c r="J38" s="602"/>
      <c r="K38" s="506"/>
      <c r="L38" s="507"/>
      <c r="M38" s="508"/>
      <c r="N38" s="1">
        <v>4</v>
      </c>
      <c r="O38" s="485" t="s">
        <v>212</v>
      </c>
      <c r="P38" s="360">
        <f>P21</f>
        <v>42</v>
      </c>
    </row>
    <row r="39" spans="2:19" ht="18.600000000000001" customHeight="1" thickBot="1">
      <c r="B39" s="445" t="s">
        <v>156</v>
      </c>
      <c r="C39" s="446" t="s">
        <v>270</v>
      </c>
      <c r="D39" s="447"/>
      <c r="E39" s="3"/>
      <c r="F39" s="3"/>
      <c r="G39" s="509"/>
      <c r="H39" s="509"/>
      <c r="I39" s="509"/>
      <c r="J39" s="509"/>
      <c r="K39" s="509"/>
      <c r="L39" s="509"/>
      <c r="M39" s="509"/>
      <c r="O39" s="486" t="s">
        <v>180</v>
      </c>
      <c r="P39" s="489">
        <f>P37+P38</f>
        <v>334.5</v>
      </c>
    </row>
    <row r="40" spans="2:19" ht="18.600000000000001" customHeight="1">
      <c r="B40" s="201" t="s">
        <v>157</v>
      </c>
      <c r="C40" s="448" t="s">
        <v>54</v>
      </c>
      <c r="D40" s="449">
        <v>54.1</v>
      </c>
      <c r="E40" s="1" t="s">
        <v>161</v>
      </c>
      <c r="F40" s="3"/>
      <c r="G40" s="450" t="s">
        <v>178</v>
      </c>
      <c r="H40" s="510">
        <f>'IRR (NG+CCS)'!C14</f>
        <v>292.5</v>
      </c>
      <c r="I40" s="591" t="s">
        <v>40</v>
      </c>
      <c r="J40" s="592"/>
      <c r="K40" s="509"/>
      <c r="L40" s="509"/>
      <c r="M40" s="509"/>
      <c r="O40" s="76"/>
      <c r="P40" s="153" t="s">
        <v>214</v>
      </c>
      <c r="R40" s="152" t="s">
        <v>218</v>
      </c>
    </row>
    <row r="41" spans="2:19" ht="18.600000000000001" customHeight="1" thickBot="1">
      <c r="B41" s="201" t="s">
        <v>158</v>
      </c>
      <c r="C41" s="448" t="s">
        <v>54</v>
      </c>
      <c r="D41" s="449">
        <v>48.8</v>
      </c>
      <c r="E41" s="126">
        <f>D41/D40</f>
        <v>0.90203327171903869</v>
      </c>
      <c r="F41" s="3"/>
      <c r="G41" s="511" t="s">
        <v>179</v>
      </c>
      <c r="H41" s="512">
        <v>42</v>
      </c>
      <c r="I41" s="587" t="s">
        <v>40</v>
      </c>
      <c r="J41" s="588"/>
      <c r="K41" s="513" t="s">
        <v>181</v>
      </c>
      <c r="L41" s="509"/>
      <c r="M41" s="509"/>
      <c r="N41" s="1">
        <v>5</v>
      </c>
      <c r="O41" s="483" t="s">
        <v>213</v>
      </c>
      <c r="P41" s="360">
        <v>0</v>
      </c>
      <c r="Q41" s="451"/>
      <c r="R41" s="452">
        <v>107</v>
      </c>
      <c r="S41" s="379" t="s">
        <v>219</v>
      </c>
    </row>
    <row r="42" spans="2:19" ht="18.600000000000001" customHeight="1" thickBot="1">
      <c r="B42" s="206" t="s">
        <v>159</v>
      </c>
      <c r="C42" s="453" t="s">
        <v>55</v>
      </c>
      <c r="D42" s="454">
        <v>16.8</v>
      </c>
      <c r="E42" s="94"/>
      <c r="F42" s="3"/>
      <c r="G42" s="514" t="s">
        <v>180</v>
      </c>
      <c r="H42" s="455">
        <f>SUM(H40:H41)</f>
        <v>334.5</v>
      </c>
      <c r="I42" s="585" t="s">
        <v>40</v>
      </c>
      <c r="J42" s="586"/>
      <c r="K42" s="509"/>
      <c r="L42" s="509"/>
      <c r="M42" s="509"/>
      <c r="O42" s="484" t="s">
        <v>291</v>
      </c>
      <c r="P42" s="490">
        <f>P39*R41+P41</f>
        <v>35791.5</v>
      </c>
    </row>
    <row r="43" spans="2:19" ht="18.600000000000001" customHeight="1">
      <c r="B43" s="456" t="s">
        <v>160</v>
      </c>
      <c r="C43" s="457" t="s">
        <v>56</v>
      </c>
      <c r="D43" s="458">
        <v>2.7170000000000001</v>
      </c>
      <c r="E43" s="94"/>
      <c r="F43" s="3"/>
      <c r="G43" s="3"/>
      <c r="H43" s="3"/>
      <c r="I43" s="3"/>
      <c r="J43" s="3"/>
      <c r="K43" s="3"/>
      <c r="L43" s="3"/>
      <c r="M43" s="3"/>
    </row>
    <row r="44" spans="2:19" ht="18.600000000000001" customHeight="1">
      <c r="B44" s="166"/>
      <c r="C44" s="459"/>
      <c r="D44" s="460"/>
      <c r="E44" s="94"/>
      <c r="F44" s="3"/>
      <c r="G44" s="3"/>
      <c r="H44" s="3"/>
      <c r="I44" s="3"/>
      <c r="J44" s="3"/>
      <c r="K44" s="3"/>
      <c r="L44" s="3"/>
      <c r="M44" s="3"/>
    </row>
    <row r="45" spans="2:19" ht="16.149999999999999" customHeight="1">
      <c r="D45" s="3"/>
      <c r="G45" s="3"/>
      <c r="H45" s="3"/>
      <c r="I45" s="3"/>
      <c r="J45" s="3"/>
      <c r="K45" s="3"/>
      <c r="L45" s="3"/>
      <c r="M45" s="3"/>
    </row>
    <row r="46" spans="2:19" ht="21" customHeight="1">
      <c r="G46" s="3"/>
      <c r="H46" s="3"/>
      <c r="I46" s="3"/>
      <c r="J46" s="3"/>
      <c r="K46" s="3"/>
      <c r="L46" s="3"/>
      <c r="M46" s="3"/>
    </row>
    <row r="47" spans="2:19" ht="21" customHeight="1">
      <c r="G47" s="3"/>
      <c r="H47" s="3"/>
      <c r="I47" s="3"/>
      <c r="J47" s="3"/>
      <c r="K47" s="3"/>
      <c r="L47" s="3"/>
      <c r="M47" s="3"/>
    </row>
    <row r="48" spans="2:19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3:14" ht="2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3:1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3:14" ht="24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3:1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3:1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3:1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3:14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3:1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4" ht="2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4" ht="20.45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4" ht="24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4">
      <c r="A76" s="3"/>
      <c r="B76" s="3"/>
      <c r="C76" s="3"/>
      <c r="D76" s="3"/>
      <c r="E76" s="3"/>
      <c r="F76" s="3"/>
      <c r="G76" s="3"/>
      <c r="H76" s="166"/>
      <c r="I76" s="3"/>
      <c r="J76" s="3"/>
    </row>
    <row r="77" spans="1:14">
      <c r="E77" s="3"/>
      <c r="F77" s="3"/>
      <c r="G77" s="3"/>
      <c r="H77" s="166"/>
      <c r="I77" s="3"/>
      <c r="J77" s="3"/>
    </row>
  </sheetData>
  <mergeCells count="50">
    <mergeCell ref="B14:B15"/>
    <mergeCell ref="I42:J42"/>
    <mergeCell ref="I41:J41"/>
    <mergeCell ref="I34:J34"/>
    <mergeCell ref="I35:J35"/>
    <mergeCell ref="I36:J36"/>
    <mergeCell ref="I37:J37"/>
    <mergeCell ref="I40:J40"/>
    <mergeCell ref="B38:D38"/>
    <mergeCell ref="G19:J19"/>
    <mergeCell ref="I21:J21"/>
    <mergeCell ref="I22:J22"/>
    <mergeCell ref="I38:J38"/>
    <mergeCell ref="K33:L33"/>
    <mergeCell ref="K34:L34"/>
    <mergeCell ref="K36:L36"/>
    <mergeCell ref="I30:J30"/>
    <mergeCell ref="I33:J33"/>
    <mergeCell ref="G31:M31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I29:J29"/>
    <mergeCell ref="I28:J28"/>
  </mergeCells>
  <phoneticPr fontId="195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Header>&amp;F</oddHeader>
  </headerFooter>
  <ignoredErrors>
    <ignoredError sqref="C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tabSelected="1" view="pageBreakPreview" topLeftCell="A34" zoomScale="70" zoomScaleNormal="100" zoomScaleSheetLayoutView="70" workbookViewId="0">
      <selection activeCell="U65" sqref="U65"/>
    </sheetView>
  </sheetViews>
  <sheetFormatPr defaultColWidth="8.7109375" defaultRowHeight="14.25" outlineLevelRow="1" outlineLevelCol="1"/>
  <cols>
    <col min="1" max="1" width="8.7109375" style="3"/>
    <col min="2" max="2" width="36.140625" style="3" customWidth="1"/>
    <col min="3" max="3" width="15.42578125" style="3" customWidth="1"/>
    <col min="4" max="4" width="13.5703125" style="3" customWidth="1"/>
    <col min="5" max="5" width="12.28515625" style="3" bestFit="1" customWidth="1"/>
    <col min="6" max="6" width="29.140625" style="3" customWidth="1"/>
    <col min="7" max="7" width="14.28515625" style="3" bestFit="1" customWidth="1"/>
    <col min="8" max="8" width="18.7109375" style="3" customWidth="1"/>
    <col min="9" max="9" width="14.28515625" style="3" bestFit="1" customWidth="1"/>
    <col min="10" max="10" width="14.28515625" style="3" customWidth="1"/>
    <col min="11" max="11" width="21.28515625" style="3" customWidth="1"/>
    <col min="12" max="21" width="14.28515625" style="3" bestFit="1" customWidth="1"/>
    <col min="22" max="26" width="14.140625" style="3" bestFit="1" customWidth="1"/>
    <col min="27" max="27" width="21.5703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95"/>
      <c r="X1" s="603"/>
      <c r="Y1" s="603"/>
      <c r="Z1" s="603"/>
    </row>
    <row r="2" spans="2:26" ht="30" customHeight="1">
      <c r="B2" s="158" t="s">
        <v>220</v>
      </c>
      <c r="C2" s="159" t="s">
        <v>126</v>
      </c>
      <c r="D2" s="603" t="str">
        <f>'NH3 Cost (NG)'!J2</f>
        <v>Middle East 2</v>
      </c>
      <c r="E2" s="604"/>
    </row>
    <row r="3" spans="2:26" ht="21" customHeight="1">
      <c r="B3" s="160" t="s">
        <v>221</v>
      </c>
    </row>
    <row r="4" spans="2:26" ht="19.149999999999999" customHeight="1">
      <c r="B4" s="161" t="s">
        <v>222</v>
      </c>
      <c r="C4" s="134">
        <f>'NH3 Cost (NG)'!C33</f>
        <v>1108485</v>
      </c>
      <c r="D4" s="162" t="s">
        <v>57</v>
      </c>
      <c r="F4" s="163" t="s">
        <v>233</v>
      </c>
      <c r="G4" s="164">
        <v>3.5</v>
      </c>
      <c r="H4" s="165" t="s">
        <v>58</v>
      </c>
      <c r="I4" s="166"/>
      <c r="J4" s="167"/>
      <c r="K4" s="168" t="s">
        <v>240</v>
      </c>
    </row>
    <row r="5" spans="2:26" ht="19.149999999999999" customHeight="1">
      <c r="B5" s="218" t="s">
        <v>257</v>
      </c>
      <c r="C5" s="169">
        <f>'NH3 Cost (NG)'!C23+'NH3 Cost (NG)'!C24</f>
        <v>1050000</v>
      </c>
      <c r="D5" s="170"/>
      <c r="F5" s="229" t="s">
        <v>265</v>
      </c>
      <c r="G5" s="171">
        <f>'NH3 Cost (NG)'!E29</f>
        <v>0.15</v>
      </c>
      <c r="H5" s="172" t="s">
        <v>238</v>
      </c>
      <c r="I5" s="166"/>
      <c r="J5" s="173"/>
      <c r="K5" s="168" t="s">
        <v>241</v>
      </c>
    </row>
    <row r="6" spans="2:26" ht="19.149999999999999" customHeight="1">
      <c r="B6" s="219" t="s">
        <v>223</v>
      </c>
      <c r="C6" s="175">
        <f>'NH3 Cost (NG)'!C26</f>
        <v>120000</v>
      </c>
      <c r="D6" s="176" t="s">
        <v>59</v>
      </c>
      <c r="F6" s="177" t="s">
        <v>60</v>
      </c>
      <c r="G6" s="178">
        <v>0.15</v>
      </c>
      <c r="H6" s="230" t="s">
        <v>266</v>
      </c>
      <c r="I6" s="166"/>
      <c r="J6" s="179"/>
      <c r="K6" s="168" t="s">
        <v>242</v>
      </c>
    </row>
    <row r="7" spans="2:26" ht="19.149999999999999" customHeight="1">
      <c r="B7" s="220" t="s">
        <v>224</v>
      </c>
      <c r="C7" s="180">
        <f>('NH3 Cost (NG)'!C25)</f>
        <v>20000</v>
      </c>
      <c r="D7" s="181" t="s">
        <v>59</v>
      </c>
      <c r="F7" s="182" t="s">
        <v>294</v>
      </c>
      <c r="G7" s="183">
        <f>'NH3 Cost (NG)'!E33</f>
        <v>0.9</v>
      </c>
      <c r="H7" s="184"/>
      <c r="I7" s="166"/>
      <c r="J7" s="185"/>
      <c r="K7" s="168" t="s">
        <v>243</v>
      </c>
    </row>
    <row r="8" spans="2:26" ht="19.149999999999999" customHeight="1">
      <c r="B8" s="221" t="s">
        <v>258</v>
      </c>
      <c r="C8" s="186">
        <f>'NH3 Cost (NG)'!C29</f>
        <v>178500</v>
      </c>
      <c r="D8" s="187" t="s">
        <v>230</v>
      </c>
      <c r="E8" s="45"/>
      <c r="F8" s="174" t="s">
        <v>234</v>
      </c>
      <c r="G8" s="188">
        <v>20</v>
      </c>
      <c r="H8" s="174" t="s">
        <v>239</v>
      </c>
      <c r="I8" s="166"/>
      <c r="J8" s="166"/>
      <c r="K8" s="166"/>
    </row>
    <row r="9" spans="2:26" ht="19.149999999999999" customHeight="1">
      <c r="B9" s="222" t="s">
        <v>259</v>
      </c>
      <c r="C9" s="226">
        <f>'NH3 Cost (NG)'!C31</f>
        <v>-136850</v>
      </c>
      <c r="D9" s="189" t="s">
        <v>231</v>
      </c>
      <c r="E9" s="133"/>
      <c r="F9" s="174" t="s">
        <v>235</v>
      </c>
      <c r="G9" s="188">
        <v>15</v>
      </c>
      <c r="H9" s="174" t="s">
        <v>239</v>
      </c>
      <c r="I9" s="166"/>
      <c r="J9" s="166"/>
      <c r="K9" s="166"/>
    </row>
    <row r="10" spans="2:26" ht="19.149999999999999" customHeight="1">
      <c r="B10" s="605" t="s">
        <v>50</v>
      </c>
      <c r="C10" s="190">
        <f>C4*C11</f>
        <v>55424.25</v>
      </c>
      <c r="D10" s="191" t="s">
        <v>57</v>
      </c>
      <c r="E10" s="39"/>
      <c r="F10" s="174" t="s">
        <v>236</v>
      </c>
      <c r="G10" s="188">
        <v>15</v>
      </c>
      <c r="H10" s="174" t="s">
        <v>239</v>
      </c>
      <c r="I10" s="166"/>
      <c r="J10" s="166"/>
      <c r="K10" s="166"/>
    </row>
    <row r="11" spans="2:26" ht="19.149999999999999" customHeight="1">
      <c r="B11" s="606"/>
      <c r="C11" s="192">
        <v>0.05</v>
      </c>
      <c r="D11" s="193" t="s">
        <v>232</v>
      </c>
      <c r="F11" s="174" t="s">
        <v>237</v>
      </c>
      <c r="G11" s="194">
        <v>0.1</v>
      </c>
      <c r="H11" s="195">
        <v>0.1</v>
      </c>
      <c r="I11" s="166"/>
      <c r="J11" s="166"/>
      <c r="K11" s="166"/>
    </row>
    <row r="12" spans="2:26" ht="19.149999999999999" customHeight="1">
      <c r="B12" s="223" t="s">
        <v>225</v>
      </c>
      <c r="C12" s="196">
        <f>'NH3 Cost (NG)'!C5/1000</f>
        <v>1000</v>
      </c>
      <c r="D12" s="191" t="s">
        <v>61</v>
      </c>
      <c r="F12" s="197" t="s">
        <v>62</v>
      </c>
      <c r="G12" s="198">
        <f>(100%-C19)*C15*(100%-C20)+C19*G11</f>
        <v>4.6799999999999994E-2</v>
      </c>
      <c r="H12" s="199"/>
      <c r="I12" s="166"/>
      <c r="J12" s="166"/>
      <c r="K12" s="166"/>
    </row>
    <row r="13" spans="2:26" ht="19.149999999999999" customHeight="1">
      <c r="B13" s="224" t="s">
        <v>226</v>
      </c>
      <c r="C13" s="200">
        <v>1</v>
      </c>
      <c r="D13" s="201"/>
      <c r="F13" s="202" t="s">
        <v>63</v>
      </c>
      <c r="G13" s="203">
        <v>0</v>
      </c>
      <c r="H13" s="204" t="s">
        <v>64</v>
      </c>
      <c r="I13" s="166"/>
      <c r="J13" s="166"/>
      <c r="K13" s="166"/>
    </row>
    <row r="14" spans="2:26" ht="19.149999999999999" customHeight="1">
      <c r="B14" s="205" t="s">
        <v>227</v>
      </c>
      <c r="C14" s="142">
        <v>292.5</v>
      </c>
      <c r="D14" s="206" t="s">
        <v>65</v>
      </c>
      <c r="F14" s="207" t="s">
        <v>66</v>
      </c>
      <c r="G14" s="208">
        <f>C67</f>
        <v>8.9928103172148832E-2</v>
      </c>
      <c r="H14" s="165"/>
      <c r="I14" s="166"/>
      <c r="J14" s="166"/>
      <c r="K14" s="166"/>
    </row>
    <row r="15" spans="2:26" ht="19.149999999999999" customHeight="1">
      <c r="B15" s="223" t="s">
        <v>228</v>
      </c>
      <c r="C15" s="125">
        <v>0.03</v>
      </c>
      <c r="D15" s="209"/>
      <c r="F15" s="168" t="s">
        <v>298</v>
      </c>
      <c r="H15" s="166"/>
      <c r="I15" s="166"/>
      <c r="J15" s="166"/>
      <c r="K15" s="166"/>
      <c r="L15" s="166"/>
    </row>
    <row r="16" spans="2:26" ht="19.149999999999999" customHeight="1">
      <c r="B16" s="227" t="s">
        <v>260</v>
      </c>
      <c r="C16" s="136">
        <v>0</v>
      </c>
      <c r="D16" s="210"/>
      <c r="E16" s="44"/>
      <c r="F16" s="211">
        <f>C26</f>
        <v>2022</v>
      </c>
      <c r="G16" s="211">
        <f>D26</f>
        <v>2023</v>
      </c>
      <c r="H16" s="211">
        <f>E26</f>
        <v>2024</v>
      </c>
      <c r="I16" s="211">
        <f>F26</f>
        <v>2025</v>
      </c>
      <c r="J16" s="166"/>
      <c r="K16" s="166"/>
      <c r="L16" s="166"/>
      <c r="O16" s="38"/>
    </row>
    <row r="17" spans="2:29" ht="19.149999999999999" customHeight="1">
      <c r="B17" s="227" t="s">
        <v>261</v>
      </c>
      <c r="C17" s="136">
        <v>0</v>
      </c>
      <c r="D17" s="210"/>
      <c r="E17" s="68"/>
      <c r="F17" s="212">
        <v>0.15</v>
      </c>
      <c r="G17" s="212">
        <v>0.3</v>
      </c>
      <c r="H17" s="212">
        <v>0.4</v>
      </c>
      <c r="I17" s="213">
        <f>1-F17-G17-H17</f>
        <v>0.15000000000000002</v>
      </c>
      <c r="J17" s="214" t="s">
        <v>244</v>
      </c>
      <c r="K17" s="166"/>
      <c r="L17" s="166"/>
      <c r="O17" s="38"/>
    </row>
    <row r="18" spans="2:29" ht="19.149999999999999" customHeight="1">
      <c r="B18" s="228" t="s">
        <v>262</v>
      </c>
      <c r="C18" s="137">
        <v>0</v>
      </c>
      <c r="D18" s="215"/>
      <c r="E18" s="3" t="s">
        <v>67</v>
      </c>
      <c r="F18" s="216">
        <v>0.15</v>
      </c>
      <c r="G18" s="216">
        <v>0.315</v>
      </c>
      <c r="H18" s="216">
        <v>0.34599999999999997</v>
      </c>
      <c r="I18" s="213">
        <f>1-F18-G18-H18</f>
        <v>0.18899999999999995</v>
      </c>
      <c r="J18" s="214" t="s">
        <v>240</v>
      </c>
      <c r="K18" s="166"/>
      <c r="L18" s="166"/>
    </row>
    <row r="19" spans="2:29" ht="19.149999999999999" customHeight="1">
      <c r="B19" s="220" t="s">
        <v>263</v>
      </c>
      <c r="C19" s="117">
        <v>0.3</v>
      </c>
      <c r="D19" s="176"/>
      <c r="K19" s="166"/>
      <c r="L19" s="166"/>
    </row>
    <row r="20" spans="2:29" ht="19.149999999999999" customHeight="1">
      <c r="B20" s="219" t="s">
        <v>229</v>
      </c>
      <c r="C20" s="114">
        <v>0.2</v>
      </c>
      <c r="D20" s="201"/>
    </row>
    <row r="21" spans="2:29" ht="19.149999999999999" customHeight="1">
      <c r="B21" s="225" t="s">
        <v>264</v>
      </c>
      <c r="C21" s="135">
        <f>-AA24/(AB41+AB42)</f>
        <v>2.0001799158178719</v>
      </c>
      <c r="D21" s="206"/>
      <c r="F21" s="112"/>
      <c r="G21" s="112"/>
      <c r="H21" s="112"/>
      <c r="I21" s="113"/>
      <c r="J21" s="60"/>
    </row>
    <row r="22" spans="2:29" ht="18" customHeight="1">
      <c r="G22" s="64"/>
    </row>
    <row r="23" spans="2:29" ht="18" customHeight="1">
      <c r="F23" s="217" t="s">
        <v>245</v>
      </c>
      <c r="G23" s="62">
        <f>G10</f>
        <v>15</v>
      </c>
      <c r="H23" s="62">
        <f>G23-1</f>
        <v>14</v>
      </c>
      <c r="I23" s="62">
        <f t="shared" ref="I23:Z23" si="0">H23-1</f>
        <v>13</v>
      </c>
      <c r="J23" s="62">
        <f t="shared" si="0"/>
        <v>12</v>
      </c>
      <c r="K23" s="62">
        <f t="shared" si="0"/>
        <v>11</v>
      </c>
      <c r="L23" s="62">
        <f t="shared" si="0"/>
        <v>10</v>
      </c>
      <c r="M23" s="62">
        <f t="shared" si="0"/>
        <v>9</v>
      </c>
      <c r="N23" s="62">
        <f t="shared" si="0"/>
        <v>8</v>
      </c>
      <c r="O23" s="62">
        <f t="shared" si="0"/>
        <v>7</v>
      </c>
      <c r="P23" s="62">
        <f t="shared" si="0"/>
        <v>6</v>
      </c>
      <c r="Q23" s="62">
        <f t="shared" si="0"/>
        <v>5</v>
      </c>
      <c r="R23" s="62">
        <f t="shared" si="0"/>
        <v>4</v>
      </c>
      <c r="S23" s="62">
        <f t="shared" si="0"/>
        <v>3</v>
      </c>
      <c r="T23" s="62">
        <f t="shared" si="0"/>
        <v>2</v>
      </c>
      <c r="U23" s="62">
        <f t="shared" si="0"/>
        <v>1</v>
      </c>
      <c r="V23" s="62">
        <f t="shared" si="0"/>
        <v>0</v>
      </c>
      <c r="W23" s="63">
        <f t="shared" si="0"/>
        <v>-1</v>
      </c>
      <c r="X23" s="63">
        <f t="shared" si="0"/>
        <v>-2</v>
      </c>
      <c r="Y23" s="63">
        <f t="shared" si="0"/>
        <v>-3</v>
      </c>
      <c r="Z23" s="63">
        <f t="shared" si="0"/>
        <v>-4</v>
      </c>
    </row>
    <row r="24" spans="2:29" ht="18" customHeight="1" outlineLevel="1" thickBot="1">
      <c r="C24" s="39">
        <f>C44-C41-C42</f>
        <v>0</v>
      </c>
      <c r="D24" s="39">
        <f t="shared" ref="D24:Z24" si="1">D44-D41-D42</f>
        <v>0</v>
      </c>
      <c r="E24" s="39">
        <f t="shared" si="1"/>
        <v>-4.7293724492192268E-11</v>
      </c>
      <c r="F24" s="39">
        <f t="shared" si="1"/>
        <v>1.2732925824820995E-11</v>
      </c>
      <c r="G24" s="39">
        <f t="shared" si="1"/>
        <v>116434.21106363612</v>
      </c>
      <c r="H24" s="39">
        <f t="shared" si="1"/>
        <v>116434.2110636361</v>
      </c>
      <c r="I24" s="39">
        <f t="shared" si="1"/>
        <v>116434.21106363612</v>
      </c>
      <c r="J24" s="39">
        <f t="shared" si="1"/>
        <v>116434.21106363612</v>
      </c>
      <c r="K24" s="39">
        <f t="shared" si="1"/>
        <v>111560.77690754952</v>
      </c>
      <c r="L24" s="39">
        <f t="shared" si="1"/>
        <v>106957.42489338935</v>
      </c>
      <c r="M24" s="39">
        <f t="shared" si="1"/>
        <v>103504.91088276925</v>
      </c>
      <c r="N24" s="39">
        <f t="shared" si="1"/>
        <v>100915.52537480416</v>
      </c>
      <c r="O24" s="39">
        <f t="shared" si="1"/>
        <v>98973.486243830339</v>
      </c>
      <c r="P24" s="39">
        <f t="shared" si="1"/>
        <v>97516.956895599986</v>
      </c>
      <c r="Q24" s="39">
        <f t="shared" si="1"/>
        <v>96424.559884427217</v>
      </c>
      <c r="R24" s="39">
        <f t="shared" si="1"/>
        <v>95605.262126047615</v>
      </c>
      <c r="S24" s="39">
        <f t="shared" si="1"/>
        <v>94990.788807262943</v>
      </c>
      <c r="T24" s="39">
        <f t="shared" si="1"/>
        <v>94529.933818174424</v>
      </c>
      <c r="U24" s="39">
        <f t="shared" si="1"/>
        <v>94184.292576358042</v>
      </c>
      <c r="V24" s="39">
        <f t="shared" si="1"/>
        <v>93925.06164499576</v>
      </c>
      <c r="W24" s="39">
        <f t="shared" si="1"/>
        <v>93730.63844647404</v>
      </c>
      <c r="X24" s="39">
        <f t="shared" si="1"/>
        <v>93730.63844647404</v>
      </c>
      <c r="Y24" s="39">
        <f t="shared" si="1"/>
        <v>93730.63844647404</v>
      </c>
      <c r="Z24" s="39">
        <f t="shared" si="1"/>
        <v>93730.63844647404</v>
      </c>
      <c r="AA24" s="39">
        <f>SUM(G24:Z24)</f>
        <v>2029748.3780956489</v>
      </c>
    </row>
    <row r="25" spans="2:29" ht="18" customHeight="1">
      <c r="B25" s="50"/>
      <c r="C25" s="51" t="s">
        <v>69</v>
      </c>
      <c r="D25" s="51" t="s">
        <v>70</v>
      </c>
      <c r="E25" s="51" t="s">
        <v>71</v>
      </c>
      <c r="F25" s="51" t="s">
        <v>72</v>
      </c>
      <c r="G25" s="118" t="s">
        <v>73</v>
      </c>
      <c r="H25" s="51" t="s">
        <v>74</v>
      </c>
      <c r="I25" s="51" t="s">
        <v>75</v>
      </c>
      <c r="J25" s="51" t="s">
        <v>76</v>
      </c>
      <c r="K25" s="51" t="s">
        <v>77</v>
      </c>
      <c r="L25" s="51" t="s">
        <v>78</v>
      </c>
      <c r="M25" s="51" t="s">
        <v>79</v>
      </c>
      <c r="N25" s="51" t="s">
        <v>80</v>
      </c>
      <c r="O25" s="51" t="s">
        <v>81</v>
      </c>
      <c r="P25" s="51" t="s">
        <v>82</v>
      </c>
      <c r="Q25" s="51" t="s">
        <v>83</v>
      </c>
      <c r="R25" s="51" t="s">
        <v>84</v>
      </c>
      <c r="S25" s="51" t="s">
        <v>85</v>
      </c>
      <c r="T25" s="51" t="s">
        <v>86</v>
      </c>
      <c r="U25" s="51" t="s">
        <v>87</v>
      </c>
      <c r="V25" s="51" t="s">
        <v>88</v>
      </c>
      <c r="W25" s="52" t="s">
        <v>89</v>
      </c>
      <c r="X25" s="51" t="s">
        <v>90</v>
      </c>
      <c r="Y25" s="53" t="s">
        <v>91</v>
      </c>
      <c r="Z25" s="53" t="s">
        <v>92</v>
      </c>
    </row>
    <row r="26" spans="2:29">
      <c r="B26" s="54" t="s">
        <v>93</v>
      </c>
      <c r="C26" s="55">
        <f t="shared" ref="C26:E26" si="2">D26-1</f>
        <v>2022</v>
      </c>
      <c r="D26" s="55">
        <f t="shared" si="2"/>
        <v>2023</v>
      </c>
      <c r="E26" s="55">
        <f t="shared" si="2"/>
        <v>2024</v>
      </c>
      <c r="F26" s="55">
        <f>G26-1</f>
        <v>2025</v>
      </c>
      <c r="G26" s="119">
        <f>'NH3 Cost (NG)'!P5</f>
        <v>2026</v>
      </c>
      <c r="H26" s="55">
        <f t="shared" ref="H26:Z26" si="3">G26+1</f>
        <v>2027</v>
      </c>
      <c r="I26" s="55">
        <f t="shared" si="3"/>
        <v>2028</v>
      </c>
      <c r="J26" s="55">
        <f t="shared" si="3"/>
        <v>2029</v>
      </c>
      <c r="K26" s="55">
        <f t="shared" si="3"/>
        <v>2030</v>
      </c>
      <c r="L26" s="55">
        <f t="shared" si="3"/>
        <v>2031</v>
      </c>
      <c r="M26" s="55">
        <f t="shared" si="3"/>
        <v>2032</v>
      </c>
      <c r="N26" s="55">
        <f t="shared" si="3"/>
        <v>2033</v>
      </c>
      <c r="O26" s="55">
        <f t="shared" si="3"/>
        <v>2034</v>
      </c>
      <c r="P26" s="55">
        <f t="shared" si="3"/>
        <v>2035</v>
      </c>
      <c r="Q26" s="55">
        <f t="shared" si="3"/>
        <v>2036</v>
      </c>
      <c r="R26" s="55">
        <f t="shared" si="3"/>
        <v>2037</v>
      </c>
      <c r="S26" s="55">
        <f t="shared" si="3"/>
        <v>2038</v>
      </c>
      <c r="T26" s="55">
        <f t="shared" si="3"/>
        <v>2039</v>
      </c>
      <c r="U26" s="55">
        <f t="shared" si="3"/>
        <v>2040</v>
      </c>
      <c r="V26" s="55">
        <f t="shared" si="3"/>
        <v>2041</v>
      </c>
      <c r="W26" s="55">
        <f t="shared" si="3"/>
        <v>2042</v>
      </c>
      <c r="X26" s="55">
        <f t="shared" si="3"/>
        <v>2043</v>
      </c>
      <c r="Y26" s="55">
        <f t="shared" si="3"/>
        <v>2044</v>
      </c>
      <c r="Z26" s="121">
        <f t="shared" si="3"/>
        <v>2045</v>
      </c>
    </row>
    <row r="27" spans="2:29">
      <c r="B27" s="4" t="s">
        <v>94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95</v>
      </c>
    </row>
    <row r="28" spans="2:29">
      <c r="B28" s="8" t="s">
        <v>96</v>
      </c>
      <c r="C28" s="9"/>
      <c r="D28" s="9"/>
      <c r="E28" s="9"/>
      <c r="F28" s="9"/>
      <c r="G28" s="13">
        <f>'NH3 Cost (NG)'!C5*'NH3 Cost (NG)'!C8/100/1000*C14</f>
        <v>292500</v>
      </c>
      <c r="H28" s="10">
        <f t="shared" ref="H28:Z28" si="4">G28*(1+$C$16)</f>
        <v>292500</v>
      </c>
      <c r="I28" s="10">
        <f t="shared" si="4"/>
        <v>292500</v>
      </c>
      <c r="J28" s="10">
        <f t="shared" si="4"/>
        <v>292500</v>
      </c>
      <c r="K28" s="10">
        <f t="shared" si="4"/>
        <v>292500</v>
      </c>
      <c r="L28" s="10">
        <f t="shared" si="4"/>
        <v>292500</v>
      </c>
      <c r="M28" s="10">
        <f t="shared" si="4"/>
        <v>292500</v>
      </c>
      <c r="N28" s="10">
        <f t="shared" si="4"/>
        <v>292500</v>
      </c>
      <c r="O28" s="10">
        <f t="shared" si="4"/>
        <v>292500</v>
      </c>
      <c r="P28" s="10">
        <f t="shared" si="4"/>
        <v>292500</v>
      </c>
      <c r="Q28" s="10">
        <f t="shared" si="4"/>
        <v>292500</v>
      </c>
      <c r="R28" s="10">
        <f t="shared" si="4"/>
        <v>292500</v>
      </c>
      <c r="S28" s="10">
        <f t="shared" si="4"/>
        <v>292500</v>
      </c>
      <c r="T28" s="10">
        <f t="shared" si="4"/>
        <v>292500</v>
      </c>
      <c r="U28" s="10">
        <f t="shared" si="4"/>
        <v>292500</v>
      </c>
      <c r="V28" s="10">
        <f t="shared" si="4"/>
        <v>292500</v>
      </c>
      <c r="W28" s="10">
        <f t="shared" si="4"/>
        <v>292500</v>
      </c>
      <c r="X28" s="10">
        <f t="shared" si="4"/>
        <v>292500</v>
      </c>
      <c r="Y28" s="10">
        <f t="shared" si="4"/>
        <v>292500</v>
      </c>
      <c r="Z28" s="106">
        <f t="shared" si="4"/>
        <v>292500</v>
      </c>
      <c r="AA28" s="154" t="s">
        <v>246</v>
      </c>
      <c r="AB28" s="25">
        <f>SUM(C28:Z28)</f>
        <v>5850000</v>
      </c>
      <c r="AC28" s="3">
        <f>AB28/($C$12*$G$8)</f>
        <v>292.5</v>
      </c>
    </row>
    <row r="29" spans="2:29">
      <c r="B29" s="8" t="s">
        <v>97</v>
      </c>
      <c r="C29" s="13">
        <f>C30/$C$19*(1-$C$19)</f>
        <v>122210.47125</v>
      </c>
      <c r="D29" s="13">
        <f>D30/$C$19*(1-$C$19)</f>
        <v>244420.9425</v>
      </c>
      <c r="E29" s="13">
        <f>E30/$C$19*(1-$C$19)</f>
        <v>325894.58999999997</v>
      </c>
      <c r="F29" s="13">
        <f>F30/$C$19*(1-$C$19)</f>
        <v>125847.30375000001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98</v>
      </c>
      <c r="C30" s="13">
        <f>-(C31+C32)*$C$19</f>
        <v>52375.916250000002</v>
      </c>
      <c r="D30" s="13">
        <f>-(D31+D32)*$C$19</f>
        <v>104751.8325</v>
      </c>
      <c r="E30" s="13">
        <f>-(E31+E32)*$C$19</f>
        <v>139669.10999999999</v>
      </c>
      <c r="F30" s="13">
        <f>-(F31+F32+F34+F35)*$C$19</f>
        <v>53934.558750000004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99</v>
      </c>
      <c r="C31" s="40">
        <f>-$C$4*F17</f>
        <v>-166272.75</v>
      </c>
      <c r="D31" s="40">
        <f>-$C$4*G17</f>
        <v>-332545.5</v>
      </c>
      <c r="E31" s="40">
        <f>-$C$4*H17</f>
        <v>-443394</v>
      </c>
      <c r="F31" s="41">
        <f>-(C4+C31+D31+E31)</f>
        <v>-166272.75</v>
      </c>
      <c r="G31" s="13"/>
      <c r="H31" s="36"/>
      <c r="I31" s="36"/>
      <c r="J31" s="36"/>
      <c r="K31" s="36"/>
      <c r="L31" s="37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50</v>
      </c>
      <c r="C32" s="42">
        <f>-$C$10*F17</f>
        <v>-8313.6374999999989</v>
      </c>
      <c r="D32" s="42">
        <f>-$C$10*G17</f>
        <v>-16627.274999999998</v>
      </c>
      <c r="E32" s="42">
        <f>-$C$10*H17</f>
        <v>-22169.7</v>
      </c>
      <c r="F32" s="29">
        <f>-(C10+C32+D32+E32)</f>
        <v>-8313.6375000000044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100</v>
      </c>
      <c r="C33" s="17"/>
      <c r="D33" s="17"/>
      <c r="E33" s="17"/>
      <c r="F33" s="107" t="s">
        <v>101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102</v>
      </c>
      <c r="C34" s="9"/>
      <c r="D34" s="9"/>
      <c r="E34" s="9"/>
      <c r="F34" s="131">
        <f>0.5*G34</f>
        <v>-1860</v>
      </c>
      <c r="G34" s="29">
        <f>-'NH3 Cost (NG)'!H25*'NH3 Cost (NG)'!C5*'NH3 Cost (NG)'!C8/100/1000</f>
        <v>-3720</v>
      </c>
      <c r="H34" s="10">
        <f t="shared" ref="H34:Z34" si="5">G34*(1+$C$18)</f>
        <v>-3720</v>
      </c>
      <c r="I34" s="10">
        <f t="shared" si="5"/>
        <v>-3720</v>
      </c>
      <c r="J34" s="10">
        <f t="shared" si="5"/>
        <v>-3720</v>
      </c>
      <c r="K34" s="10">
        <f t="shared" si="5"/>
        <v>-3720</v>
      </c>
      <c r="L34" s="10">
        <f t="shared" si="5"/>
        <v>-3720</v>
      </c>
      <c r="M34" s="10">
        <f t="shared" si="5"/>
        <v>-3720</v>
      </c>
      <c r="N34" s="10">
        <f t="shared" si="5"/>
        <v>-3720</v>
      </c>
      <c r="O34" s="10">
        <f t="shared" si="5"/>
        <v>-3720</v>
      </c>
      <c r="P34" s="10">
        <f t="shared" si="5"/>
        <v>-3720</v>
      </c>
      <c r="Q34" s="10">
        <f t="shared" si="5"/>
        <v>-3720</v>
      </c>
      <c r="R34" s="10">
        <f t="shared" si="5"/>
        <v>-3720</v>
      </c>
      <c r="S34" s="10">
        <f t="shared" si="5"/>
        <v>-3720</v>
      </c>
      <c r="T34" s="10">
        <f t="shared" si="5"/>
        <v>-3720</v>
      </c>
      <c r="U34" s="10">
        <f t="shared" si="5"/>
        <v>-3720</v>
      </c>
      <c r="V34" s="10">
        <f t="shared" si="5"/>
        <v>-3720</v>
      </c>
      <c r="W34" s="10">
        <f t="shared" si="5"/>
        <v>-3720</v>
      </c>
      <c r="X34" s="10">
        <f t="shared" si="5"/>
        <v>-3720</v>
      </c>
      <c r="Y34" s="10">
        <f t="shared" si="5"/>
        <v>-3720</v>
      </c>
      <c r="Z34" s="106">
        <f t="shared" si="5"/>
        <v>-3720</v>
      </c>
      <c r="AA34" s="14" t="s">
        <v>102</v>
      </c>
      <c r="AB34" s="25">
        <f>SUM(C33:Z34)</f>
        <v>-76260</v>
      </c>
      <c r="AC34" s="3">
        <f t="shared" ref="AC34:AC44" si="6">AB34/($C$12*$G$8)</f>
        <v>-3.8130000000000002</v>
      </c>
    </row>
    <row r="35" spans="2:29">
      <c r="B35" s="8" t="s">
        <v>103</v>
      </c>
      <c r="C35" s="9"/>
      <c r="D35" s="9"/>
      <c r="E35" s="9"/>
      <c r="F35" s="131">
        <f>0.5*G35</f>
        <v>-3335.4750000000004</v>
      </c>
      <c r="G35" s="29">
        <f>-'NH3 Cost (NG)'!H27*'NH3 Cost (NG)'!C5*'NH3 Cost (NG)'!C8/100/1000</f>
        <v>-6670.9500000000007</v>
      </c>
      <c r="H35" s="10">
        <f t="shared" ref="H35:Z35" si="7">G35*(1+$C$18)</f>
        <v>-6670.9500000000007</v>
      </c>
      <c r="I35" s="10">
        <f t="shared" si="7"/>
        <v>-6670.9500000000007</v>
      </c>
      <c r="J35" s="10">
        <f t="shared" si="7"/>
        <v>-6670.9500000000007</v>
      </c>
      <c r="K35" s="10">
        <f t="shared" si="7"/>
        <v>-6670.9500000000007</v>
      </c>
      <c r="L35" s="10">
        <f t="shared" si="7"/>
        <v>-6670.9500000000007</v>
      </c>
      <c r="M35" s="10">
        <f t="shared" si="7"/>
        <v>-6670.9500000000007</v>
      </c>
      <c r="N35" s="10">
        <f t="shared" si="7"/>
        <v>-6670.9500000000007</v>
      </c>
      <c r="O35" s="10">
        <f t="shared" si="7"/>
        <v>-6670.9500000000007</v>
      </c>
      <c r="P35" s="10">
        <f t="shared" si="7"/>
        <v>-6670.9500000000007</v>
      </c>
      <c r="Q35" s="10">
        <f t="shared" si="7"/>
        <v>-6670.9500000000007</v>
      </c>
      <c r="R35" s="10">
        <f t="shared" si="7"/>
        <v>-6670.9500000000007</v>
      </c>
      <c r="S35" s="10">
        <f t="shared" si="7"/>
        <v>-6670.9500000000007</v>
      </c>
      <c r="T35" s="10">
        <f t="shared" si="7"/>
        <v>-6670.9500000000007</v>
      </c>
      <c r="U35" s="10">
        <f t="shared" si="7"/>
        <v>-6670.9500000000007</v>
      </c>
      <c r="V35" s="10">
        <f t="shared" si="7"/>
        <v>-6670.9500000000007</v>
      </c>
      <c r="W35" s="10">
        <f t="shared" si="7"/>
        <v>-6670.9500000000007</v>
      </c>
      <c r="X35" s="10">
        <f t="shared" si="7"/>
        <v>-6670.9500000000007</v>
      </c>
      <c r="Y35" s="10">
        <f t="shared" si="7"/>
        <v>-6670.9500000000007</v>
      </c>
      <c r="Z35" s="106">
        <f t="shared" si="7"/>
        <v>-6670.9500000000007</v>
      </c>
      <c r="AA35" s="14" t="s">
        <v>103</v>
      </c>
      <c r="AB35" s="25">
        <f t="shared" ref="AB35:AB39" si="8">SUM(C35:Z35)</f>
        <v>-136754.47499999998</v>
      </c>
      <c r="AC35" s="3">
        <f t="shared" si="6"/>
        <v>-6.8377237499999985</v>
      </c>
    </row>
    <row r="36" spans="2:29">
      <c r="B36" s="8" t="s">
        <v>104</v>
      </c>
      <c r="C36" s="9"/>
      <c r="D36" s="9"/>
      <c r="E36" s="9"/>
      <c r="F36" s="9"/>
      <c r="G36" s="29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106">
        <f t="shared" si="9"/>
        <v>-18474.75</v>
      </c>
      <c r="AA36" s="14" t="s">
        <v>104</v>
      </c>
      <c r="AB36" s="25">
        <f t="shared" si="8"/>
        <v>-369495</v>
      </c>
      <c r="AC36" s="3">
        <f t="shared" si="6"/>
        <v>-18.47475</v>
      </c>
    </row>
    <row r="37" spans="2:29">
      <c r="B37" s="8" t="s">
        <v>105</v>
      </c>
      <c r="C37" s="9"/>
      <c r="D37" s="9"/>
      <c r="E37" s="9"/>
      <c r="F37" s="9"/>
      <c r="G37" s="29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106">
        <f t="shared" si="10"/>
        <v>-9658.2499999999982</v>
      </c>
      <c r="AA37" s="14" t="s">
        <v>105</v>
      </c>
      <c r="AB37" s="25">
        <f t="shared" si="8"/>
        <v>-193164.99999999997</v>
      </c>
      <c r="AC37" s="3">
        <f t="shared" si="6"/>
        <v>-9.6582499999999989</v>
      </c>
    </row>
    <row r="38" spans="2:29" ht="15.75">
      <c r="B38" s="34" t="s">
        <v>106</v>
      </c>
      <c r="C38" s="9"/>
      <c r="D38" s="9"/>
      <c r="E38" s="9"/>
      <c r="F38" s="9"/>
      <c r="G38" s="29">
        <f>-'NH3 Cost (NG)'!H32*'NH3 Cost (NG)'!C5*'NH3 Cost (NG)'!C8/100/1000</f>
        <v>-125026.11180904522</v>
      </c>
      <c r="H38" s="10">
        <f t="shared" ref="H38:Z38" si="11">G38*(1+$C$17)</f>
        <v>-125026.11180904522</v>
      </c>
      <c r="I38" s="10">
        <f t="shared" si="11"/>
        <v>-125026.11180904522</v>
      </c>
      <c r="J38" s="10">
        <f t="shared" si="11"/>
        <v>-125026.11180904522</v>
      </c>
      <c r="K38" s="10">
        <f t="shared" si="11"/>
        <v>-125026.11180904522</v>
      </c>
      <c r="L38" s="10">
        <f t="shared" si="11"/>
        <v>-125026.11180904522</v>
      </c>
      <c r="M38" s="10">
        <f t="shared" si="11"/>
        <v>-125026.11180904522</v>
      </c>
      <c r="N38" s="10">
        <f t="shared" si="11"/>
        <v>-125026.11180904522</v>
      </c>
      <c r="O38" s="10">
        <f t="shared" si="11"/>
        <v>-125026.11180904522</v>
      </c>
      <c r="P38" s="10">
        <f t="shared" si="11"/>
        <v>-125026.11180904522</v>
      </c>
      <c r="Q38" s="10">
        <f t="shared" si="11"/>
        <v>-125026.11180904522</v>
      </c>
      <c r="R38" s="10">
        <f t="shared" si="11"/>
        <v>-125026.11180904522</v>
      </c>
      <c r="S38" s="10">
        <f t="shared" si="11"/>
        <v>-125026.11180904522</v>
      </c>
      <c r="T38" s="10">
        <f t="shared" si="11"/>
        <v>-125026.11180904522</v>
      </c>
      <c r="U38" s="10">
        <f t="shared" si="11"/>
        <v>-125026.11180904522</v>
      </c>
      <c r="V38" s="10">
        <f t="shared" si="11"/>
        <v>-125026.11180904522</v>
      </c>
      <c r="W38" s="10">
        <f t="shared" si="11"/>
        <v>-125026.11180904522</v>
      </c>
      <c r="X38" s="10">
        <f t="shared" si="11"/>
        <v>-125026.11180904522</v>
      </c>
      <c r="Y38" s="10">
        <f t="shared" si="11"/>
        <v>-125026.11180904522</v>
      </c>
      <c r="Z38" s="106">
        <f t="shared" si="11"/>
        <v>-125026.11180904522</v>
      </c>
      <c r="AA38" s="3" t="s">
        <v>12</v>
      </c>
      <c r="AB38" s="25">
        <f t="shared" si="8"/>
        <v>-2500522.2361809043</v>
      </c>
      <c r="AC38" s="3">
        <f t="shared" si="6"/>
        <v>-125.02611180904522</v>
      </c>
    </row>
    <row r="39" spans="2:29">
      <c r="B39" s="8" t="s">
        <v>107</v>
      </c>
      <c r="C39" s="9"/>
      <c r="D39" s="9"/>
      <c r="E39" s="9"/>
      <c r="F39" s="9"/>
      <c r="G39" s="29">
        <f>-('NH3 Cost (NG)'!H37-'NH3 Cost (NG)'!H32)*'NH3 Cost (NG)'!C5*'NH3 Cost (NG)'!C8/100/1000</f>
        <v>-12515.727127318656</v>
      </c>
      <c r="H39" s="10">
        <f t="shared" ref="H39:Z39" si="12">G39*(1+$C$18)</f>
        <v>-12515.727127318656</v>
      </c>
      <c r="I39" s="10">
        <f t="shared" si="12"/>
        <v>-12515.727127318656</v>
      </c>
      <c r="J39" s="10">
        <f t="shared" si="12"/>
        <v>-12515.727127318656</v>
      </c>
      <c r="K39" s="10">
        <f t="shared" si="12"/>
        <v>-12515.727127318656</v>
      </c>
      <c r="L39" s="10">
        <f t="shared" si="12"/>
        <v>-12515.727127318656</v>
      </c>
      <c r="M39" s="10">
        <f t="shared" si="12"/>
        <v>-12515.727127318656</v>
      </c>
      <c r="N39" s="10">
        <f t="shared" si="12"/>
        <v>-12515.727127318656</v>
      </c>
      <c r="O39" s="10">
        <f t="shared" si="12"/>
        <v>-12515.727127318656</v>
      </c>
      <c r="P39" s="10">
        <f t="shared" si="12"/>
        <v>-12515.727127318656</v>
      </c>
      <c r="Q39" s="10">
        <f t="shared" si="12"/>
        <v>-12515.727127318656</v>
      </c>
      <c r="R39" s="10">
        <f t="shared" si="12"/>
        <v>-12515.727127318656</v>
      </c>
      <c r="S39" s="10">
        <f t="shared" si="12"/>
        <v>-12515.727127318656</v>
      </c>
      <c r="T39" s="10">
        <f t="shared" si="12"/>
        <v>-12515.727127318656</v>
      </c>
      <c r="U39" s="10">
        <f t="shared" si="12"/>
        <v>-12515.727127318656</v>
      </c>
      <c r="V39" s="10">
        <f t="shared" si="12"/>
        <v>-12515.727127318656</v>
      </c>
      <c r="W39" s="10">
        <f t="shared" si="12"/>
        <v>-12515.727127318656</v>
      </c>
      <c r="X39" s="10">
        <f t="shared" si="12"/>
        <v>-12515.727127318656</v>
      </c>
      <c r="Y39" s="10">
        <f t="shared" si="12"/>
        <v>-12515.727127318656</v>
      </c>
      <c r="Z39" s="106">
        <f t="shared" si="12"/>
        <v>-12515.727127318656</v>
      </c>
      <c r="AB39" s="25">
        <f t="shared" si="8"/>
        <v>-250314.54254637304</v>
      </c>
      <c r="AC39" s="3">
        <f t="shared" si="6"/>
        <v>-12.515727127318652</v>
      </c>
    </row>
    <row r="40" spans="2:29">
      <c r="B40" s="46"/>
      <c r="C40" s="47"/>
      <c r="D40" s="47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8"/>
      <c r="AA40" s="154" t="s">
        <v>247</v>
      </c>
      <c r="AB40" s="22">
        <f>AB41+AB42</f>
        <v>-1014782.9012999996</v>
      </c>
      <c r="AC40" s="3">
        <f t="shared" si="6"/>
        <v>-50.739145064999981</v>
      </c>
    </row>
    <row r="41" spans="2:29">
      <c r="B41" s="8" t="s">
        <v>108</v>
      </c>
      <c r="C41" s="9"/>
      <c r="D41" s="9"/>
      <c r="E41" s="9"/>
      <c r="F41" s="9"/>
      <c r="G41" s="13">
        <f>-F48/G9</f>
        <v>-54558.220499999989</v>
      </c>
      <c r="H41" s="13">
        <f t="shared" ref="H41:Z41" si="13">IF(H23&gt;0,G41,0)</f>
        <v>-54558.220499999989</v>
      </c>
      <c r="I41" s="13">
        <f t="shared" si="13"/>
        <v>-54558.220499999989</v>
      </c>
      <c r="J41" s="13">
        <f t="shared" si="13"/>
        <v>-54558.220499999989</v>
      </c>
      <c r="K41" s="13">
        <f t="shared" si="13"/>
        <v>-54558.220499999989</v>
      </c>
      <c r="L41" s="13">
        <f t="shared" si="13"/>
        <v>-54558.220499999989</v>
      </c>
      <c r="M41" s="13">
        <f t="shared" si="13"/>
        <v>-54558.220499999989</v>
      </c>
      <c r="N41" s="13">
        <f t="shared" si="13"/>
        <v>-54558.220499999989</v>
      </c>
      <c r="O41" s="13">
        <f t="shared" si="13"/>
        <v>-54558.220499999989</v>
      </c>
      <c r="P41" s="13">
        <f t="shared" si="13"/>
        <v>-54558.220499999989</v>
      </c>
      <c r="Q41" s="13">
        <f t="shared" si="13"/>
        <v>-54558.220499999989</v>
      </c>
      <c r="R41" s="13">
        <f t="shared" si="13"/>
        <v>-54558.220499999989</v>
      </c>
      <c r="S41" s="13">
        <f t="shared" si="13"/>
        <v>-54558.220499999989</v>
      </c>
      <c r="T41" s="13">
        <f t="shared" si="13"/>
        <v>-54558.220499999989</v>
      </c>
      <c r="U41" s="13">
        <f t="shared" si="13"/>
        <v>-54558.220499999989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155" t="s">
        <v>248</v>
      </c>
      <c r="AB41" s="25">
        <f>SUM(C41:Z41)</f>
        <v>-818373.30749999953</v>
      </c>
      <c r="AC41" s="3">
        <f t="shared" si="6"/>
        <v>-40.918665374999975</v>
      </c>
    </row>
    <row r="42" spans="2:29">
      <c r="B42" s="8" t="s">
        <v>109</v>
      </c>
      <c r="C42" s="13"/>
      <c r="D42" s="13"/>
      <c r="E42" s="13"/>
      <c r="F42" s="13"/>
      <c r="G42" s="13">
        <f t="shared" ref="G42:Z42" si="14">-F48*$C$15</f>
        <v>-24551.199224999997</v>
      </c>
      <c r="H42" s="13">
        <f t="shared" si="14"/>
        <v>-22914.452609999997</v>
      </c>
      <c r="I42" s="13">
        <f t="shared" si="14"/>
        <v>-21277.705995</v>
      </c>
      <c r="J42" s="13">
        <f t="shared" si="14"/>
        <v>-19640.95938</v>
      </c>
      <c r="K42" s="13">
        <f t="shared" si="14"/>
        <v>-18004.212765000004</v>
      </c>
      <c r="L42" s="13">
        <f t="shared" si="14"/>
        <v>-16367.466150000006</v>
      </c>
      <c r="M42" s="13">
        <f t="shared" si="14"/>
        <v>-14730.719535000006</v>
      </c>
      <c r="N42" s="13">
        <f t="shared" si="14"/>
        <v>-13093.972920000006</v>
      </c>
      <c r="O42" s="13">
        <f t="shared" si="14"/>
        <v>-11457.226305000006</v>
      </c>
      <c r="P42" s="13">
        <f t="shared" si="14"/>
        <v>-9820.4796900000056</v>
      </c>
      <c r="Q42" s="13">
        <f t="shared" si="14"/>
        <v>-8183.7330750000065</v>
      </c>
      <c r="R42" s="13">
        <f t="shared" si="14"/>
        <v>-6546.9864600000064</v>
      </c>
      <c r="S42" s="13">
        <f t="shared" si="14"/>
        <v>-4910.2398450000064</v>
      </c>
      <c r="T42" s="13">
        <f t="shared" si="14"/>
        <v>-3273.4932300000064</v>
      </c>
      <c r="U42" s="13">
        <f t="shared" si="14"/>
        <v>-1636.7466150000071</v>
      </c>
      <c r="V42" s="13">
        <f t="shared" si="14"/>
        <v>-7.4214767664670946E-12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155" t="s">
        <v>203</v>
      </c>
      <c r="AB42" s="25">
        <f>SUM(C42:Z42)</f>
        <v>-196409.59380000006</v>
      </c>
      <c r="AC42" s="3">
        <f t="shared" si="6"/>
        <v>-9.8204796900000026</v>
      </c>
    </row>
    <row r="43" spans="2:29">
      <c r="B43" s="156" t="s">
        <v>250</v>
      </c>
      <c r="C43" s="99"/>
      <c r="D43" s="99"/>
      <c r="E43" s="99"/>
      <c r="F43" s="99"/>
      <c r="G43" s="99">
        <f>G75</f>
        <v>0</v>
      </c>
      <c r="H43" s="99">
        <f t="shared" ref="H43:Z43" si="15">H75</f>
        <v>0</v>
      </c>
      <c r="I43" s="99">
        <f t="shared" si="15"/>
        <v>0</v>
      </c>
      <c r="J43" s="99">
        <f t="shared" si="15"/>
        <v>0</v>
      </c>
      <c r="K43" s="99">
        <f t="shared" si="15"/>
        <v>-4873.4341560865987</v>
      </c>
      <c r="L43" s="99">
        <f t="shared" si="15"/>
        <v>-9476.7861702467544</v>
      </c>
      <c r="M43" s="99">
        <f t="shared" si="15"/>
        <v>-12929.300180866872</v>
      </c>
      <c r="N43" s="99">
        <f t="shared" si="15"/>
        <v>-15518.68568883196</v>
      </c>
      <c r="O43" s="99">
        <f t="shared" si="15"/>
        <v>-17460.724819805775</v>
      </c>
      <c r="P43" s="99">
        <f t="shared" si="15"/>
        <v>-18917.254168036139</v>
      </c>
      <c r="Q43" s="99">
        <f t="shared" si="15"/>
        <v>-20009.651179208911</v>
      </c>
      <c r="R43" s="99">
        <f t="shared" si="15"/>
        <v>-20828.948937588488</v>
      </c>
      <c r="S43" s="99">
        <f t="shared" si="15"/>
        <v>-21443.422256373175</v>
      </c>
      <c r="T43" s="99">
        <f t="shared" si="15"/>
        <v>-21904.277245461686</v>
      </c>
      <c r="U43" s="99">
        <f t="shared" si="15"/>
        <v>-22249.918487278072</v>
      </c>
      <c r="V43" s="99">
        <f t="shared" si="15"/>
        <v>-22509.149418640358</v>
      </c>
      <c r="W43" s="99">
        <f t="shared" si="15"/>
        <v>-22703.572617162077</v>
      </c>
      <c r="X43" s="99">
        <f t="shared" si="15"/>
        <v>-22703.572617162077</v>
      </c>
      <c r="Y43" s="99">
        <f t="shared" si="15"/>
        <v>-22703.572617162077</v>
      </c>
      <c r="Z43" s="100">
        <f t="shared" si="15"/>
        <v>-22703.572617162077</v>
      </c>
      <c r="AA43" s="155" t="s">
        <v>207</v>
      </c>
      <c r="AB43" s="25">
        <f>SUM(C43:Z43)</f>
        <v>-298935.84317707311</v>
      </c>
      <c r="AC43" s="3">
        <f t="shared" si="6"/>
        <v>-14.946792158853656</v>
      </c>
    </row>
    <row r="44" spans="2:29">
      <c r="B44" s="101" t="s">
        <v>110</v>
      </c>
      <c r="C44" s="102">
        <f>SUM(C28:C32)+SUM(C34:C43)</f>
        <v>0</v>
      </c>
      <c r="D44" s="102">
        <f>SUM(D28:D32)+SUM(D34:D43)</f>
        <v>0</v>
      </c>
      <c r="E44" s="102">
        <f>SUM(E28:E32)+SUM(E34:E43)</f>
        <v>-4.7293724492192268E-11</v>
      </c>
      <c r="F44" s="102">
        <f>SUM(F28:F32)+SUM(F34:F43)</f>
        <v>1.2732925824820995E-11</v>
      </c>
      <c r="G44" s="102">
        <f>SUM(G28:G43)</f>
        <v>37324.791338636132</v>
      </c>
      <c r="H44" s="102">
        <f t="shared" ref="H44:Y44" si="16">SUM(H28:H43)</f>
        <v>38961.537953636129</v>
      </c>
      <c r="I44" s="102">
        <f t="shared" si="16"/>
        <v>40598.284568636125</v>
      </c>
      <c r="J44" s="102">
        <f t="shared" si="16"/>
        <v>42235.031183636129</v>
      </c>
      <c r="K44" s="102">
        <f t="shared" si="16"/>
        <v>38998.343642549524</v>
      </c>
      <c r="L44" s="102">
        <f t="shared" si="16"/>
        <v>36031.738243389365</v>
      </c>
      <c r="M44" s="102">
        <f t="shared" si="16"/>
        <v>34215.970847769255</v>
      </c>
      <c r="N44" s="102">
        <f t="shared" si="16"/>
        <v>33263.331954804162</v>
      </c>
      <c r="O44" s="102">
        <f t="shared" si="16"/>
        <v>32958.039438830354</v>
      </c>
      <c r="P44" s="102">
        <f t="shared" si="16"/>
        <v>33138.256705599983</v>
      </c>
      <c r="Q44" s="102">
        <f t="shared" si="16"/>
        <v>33682.60630942721</v>
      </c>
      <c r="R44" s="102">
        <f t="shared" si="16"/>
        <v>34500.055166047634</v>
      </c>
      <c r="S44" s="102">
        <f t="shared" si="16"/>
        <v>35522.328462262951</v>
      </c>
      <c r="T44" s="102">
        <f t="shared" si="16"/>
        <v>36698.220088174436</v>
      </c>
      <c r="U44" s="102">
        <f t="shared" si="16"/>
        <v>37989.32546135805</v>
      </c>
      <c r="V44" s="102">
        <f t="shared" si="16"/>
        <v>93925.061644995745</v>
      </c>
      <c r="W44" s="102">
        <f t="shared" si="16"/>
        <v>93730.63844647404</v>
      </c>
      <c r="X44" s="102">
        <f t="shared" si="16"/>
        <v>93730.63844647404</v>
      </c>
      <c r="Y44" s="102">
        <f t="shared" si="16"/>
        <v>93730.63844647404</v>
      </c>
      <c r="Z44" s="103">
        <f>SUM(Z28:Z43)</f>
        <v>93730.63844647404</v>
      </c>
      <c r="AA44" s="22" t="s">
        <v>111</v>
      </c>
      <c r="AB44" s="25">
        <f>SUM(C44:Z44)</f>
        <v>1014965.4767956489</v>
      </c>
      <c r="AC44" s="3">
        <f t="shared" si="6"/>
        <v>50.748273839782449</v>
      </c>
    </row>
    <row r="45" spans="2:29">
      <c r="B45" s="4" t="s">
        <v>112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9"/>
      <c r="AA45" s="61"/>
      <c r="AB45" s="22"/>
    </row>
    <row r="46" spans="2:29">
      <c r="B46" s="8" t="s">
        <v>113</v>
      </c>
      <c r="C46" s="13">
        <f>-(C31+C32)</f>
        <v>174586.38750000001</v>
      </c>
      <c r="D46" s="13">
        <f>C46-(D31+D32)</f>
        <v>523759.16250000003</v>
      </c>
      <c r="E46" s="13">
        <f>D46-(E31+E32)</f>
        <v>989322.86250000005</v>
      </c>
      <c r="F46" s="13">
        <f>E46-(F31+F32)</f>
        <v>1163909.25</v>
      </c>
      <c r="G46" s="13">
        <f>IF(F46+G52&gt;0, F46+G52,0)</f>
        <v>1086315.3</v>
      </c>
      <c r="H46" s="13">
        <f t="shared" ref="H46:Z46" si="17">IF(G46+H52&gt;0, G46+H52,0)</f>
        <v>1008721.3500000001</v>
      </c>
      <c r="I46" s="13">
        <f t="shared" si="17"/>
        <v>931127.40000000014</v>
      </c>
      <c r="J46" s="13">
        <f t="shared" si="17"/>
        <v>853533.45000000019</v>
      </c>
      <c r="K46" s="13">
        <f t="shared" si="17"/>
        <v>775939.50000000023</v>
      </c>
      <c r="L46" s="13">
        <f t="shared" si="17"/>
        <v>698345.55000000028</v>
      </c>
      <c r="M46" s="13">
        <f t="shared" si="17"/>
        <v>620751.60000000033</v>
      </c>
      <c r="N46" s="13">
        <f t="shared" si="17"/>
        <v>543157.65000000037</v>
      </c>
      <c r="O46" s="13">
        <f t="shared" si="17"/>
        <v>465563.70000000036</v>
      </c>
      <c r="P46" s="13">
        <f t="shared" si="17"/>
        <v>387969.75000000035</v>
      </c>
      <c r="Q46" s="13">
        <f t="shared" si="17"/>
        <v>310375.80000000034</v>
      </c>
      <c r="R46" s="13">
        <f t="shared" si="17"/>
        <v>232781.85000000033</v>
      </c>
      <c r="S46" s="13">
        <f t="shared" si="17"/>
        <v>155187.90000000031</v>
      </c>
      <c r="T46" s="13">
        <f t="shared" si="17"/>
        <v>77593.950000000317</v>
      </c>
      <c r="U46" s="13">
        <f t="shared" si="17"/>
        <v>3.2014213502407074E-10</v>
      </c>
      <c r="V46" s="13">
        <f t="shared" si="17"/>
        <v>3.2014213502407074E-10</v>
      </c>
      <c r="W46" s="13">
        <f t="shared" si="17"/>
        <v>3.2014213502407074E-10</v>
      </c>
      <c r="X46" s="13">
        <f t="shared" si="17"/>
        <v>3.2014213502407074E-10</v>
      </c>
      <c r="Y46" s="13">
        <f t="shared" si="17"/>
        <v>3.2014213502407074E-10</v>
      </c>
      <c r="Z46" s="18">
        <f t="shared" si="17"/>
        <v>3.2014213502407074E-10</v>
      </c>
    </row>
    <row r="47" spans="2:29">
      <c r="B47" s="8" t="s">
        <v>114</v>
      </c>
      <c r="C47" s="13">
        <f>C44</f>
        <v>0</v>
      </c>
      <c r="D47" s="13">
        <f t="shared" ref="D47:Z47" si="18">C47+D44</f>
        <v>0</v>
      </c>
      <c r="E47" s="13">
        <f t="shared" si="18"/>
        <v>-4.7293724492192268E-11</v>
      </c>
      <c r="F47" s="13">
        <f t="shared" si="18"/>
        <v>-3.4560798667371273E-11</v>
      </c>
      <c r="G47" s="13">
        <f t="shared" si="18"/>
        <v>37324.791338636096</v>
      </c>
      <c r="H47" s="13">
        <f t="shared" si="18"/>
        <v>76286.329292272218</v>
      </c>
      <c r="I47" s="13">
        <f t="shared" si="18"/>
        <v>116884.61386090834</v>
      </c>
      <c r="J47" s="13">
        <f t="shared" si="18"/>
        <v>159119.64504454448</v>
      </c>
      <c r="K47" s="13">
        <f t="shared" si="18"/>
        <v>198117.98868709401</v>
      </c>
      <c r="L47" s="13">
        <f t="shared" si="18"/>
        <v>234149.72693048336</v>
      </c>
      <c r="M47" s="13">
        <f t="shared" si="18"/>
        <v>268365.69777825259</v>
      </c>
      <c r="N47" s="13">
        <f t="shared" si="18"/>
        <v>301629.02973305678</v>
      </c>
      <c r="O47" s="13">
        <f t="shared" si="18"/>
        <v>334587.06917188712</v>
      </c>
      <c r="P47" s="13">
        <f t="shared" si="18"/>
        <v>367725.32587748708</v>
      </c>
      <c r="Q47" s="13">
        <f t="shared" si="18"/>
        <v>401407.93218691426</v>
      </c>
      <c r="R47" s="13">
        <f t="shared" si="18"/>
        <v>435907.98735296191</v>
      </c>
      <c r="S47" s="13">
        <f t="shared" si="18"/>
        <v>471430.31581522484</v>
      </c>
      <c r="T47" s="13">
        <f t="shared" si="18"/>
        <v>508128.53590339929</v>
      </c>
      <c r="U47" s="13">
        <f t="shared" si="18"/>
        <v>546117.86136475729</v>
      </c>
      <c r="V47" s="13">
        <f t="shared" si="18"/>
        <v>640042.92300975299</v>
      </c>
      <c r="W47" s="13">
        <f t="shared" si="18"/>
        <v>733773.56145622698</v>
      </c>
      <c r="X47" s="13">
        <f t="shared" si="18"/>
        <v>827504.19990270096</v>
      </c>
      <c r="Y47" s="13">
        <f t="shared" si="18"/>
        <v>921234.83834917494</v>
      </c>
      <c r="Z47" s="122">
        <f t="shared" si="18"/>
        <v>1014965.4767956489</v>
      </c>
    </row>
    <row r="48" spans="2:29">
      <c r="B48" s="8" t="s">
        <v>115</v>
      </c>
      <c r="C48" s="13">
        <f>C29</f>
        <v>122210.47125</v>
      </c>
      <c r="D48" s="13">
        <f>C48+D29</f>
        <v>366631.41375000001</v>
      </c>
      <c r="E48" s="13">
        <f>D48+E29</f>
        <v>692526.00374999992</v>
      </c>
      <c r="F48" s="13">
        <f>E48+F29</f>
        <v>818373.30749999988</v>
      </c>
      <c r="G48" s="13">
        <f t="shared" ref="G48:Z48" si="19">IF(F48-$F$48/$G$9&gt;0,F48-$F$48/$G$9,0)</f>
        <v>763815.08699999994</v>
      </c>
      <c r="H48" s="13">
        <f t="shared" si="19"/>
        <v>709256.8665</v>
      </c>
      <c r="I48" s="13">
        <f t="shared" si="19"/>
        <v>654698.64600000007</v>
      </c>
      <c r="J48" s="13">
        <f t="shared" si="19"/>
        <v>600140.42550000013</v>
      </c>
      <c r="K48" s="13">
        <f t="shared" si="19"/>
        <v>545582.20500000019</v>
      </c>
      <c r="L48" s="13">
        <f t="shared" si="19"/>
        <v>491023.9845000002</v>
      </c>
      <c r="M48" s="13">
        <f t="shared" si="19"/>
        <v>436465.7640000002</v>
      </c>
      <c r="N48" s="13">
        <f t="shared" si="19"/>
        <v>381907.5435000002</v>
      </c>
      <c r="O48" s="13">
        <f t="shared" si="19"/>
        <v>327349.32300000021</v>
      </c>
      <c r="P48" s="13">
        <f t="shared" si="19"/>
        <v>272791.10250000021</v>
      </c>
      <c r="Q48" s="13">
        <f t="shared" si="19"/>
        <v>218232.88200000022</v>
      </c>
      <c r="R48" s="13">
        <f t="shared" si="19"/>
        <v>163674.66150000022</v>
      </c>
      <c r="S48" s="13">
        <f t="shared" si="19"/>
        <v>109116.44100000022</v>
      </c>
      <c r="T48" s="13">
        <f t="shared" si="19"/>
        <v>54558.220500000236</v>
      </c>
      <c r="U48" s="13">
        <f t="shared" si="19"/>
        <v>2.4738255888223648E-10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29">
      <c r="B49" s="8" t="s">
        <v>68</v>
      </c>
      <c r="C49" s="13">
        <f>C30+C63</f>
        <v>52375.916250000002</v>
      </c>
      <c r="D49" s="13">
        <f>C49+D30+D63</f>
        <v>157127.74875</v>
      </c>
      <c r="E49" s="13">
        <f>D49+E30+E63</f>
        <v>296796.85875000001</v>
      </c>
      <c r="F49" s="13">
        <f>E49+F30+F63</f>
        <v>345535.94250000006</v>
      </c>
      <c r="G49" s="10">
        <f t="shared" ref="G49:Z49" si="20">F49+G63</f>
        <v>356967.19197090896</v>
      </c>
      <c r="H49" s="10">
        <f t="shared" si="20"/>
        <v>369707.83873381786</v>
      </c>
      <c r="I49" s="10">
        <f t="shared" si="20"/>
        <v>383757.88278872671</v>
      </c>
      <c r="J49" s="10">
        <f t="shared" si="20"/>
        <v>399117.32413563557</v>
      </c>
      <c r="K49" s="10">
        <f t="shared" si="20"/>
        <v>415786.16277454444</v>
      </c>
      <c r="L49" s="10">
        <f t="shared" si="20"/>
        <v>433764.39870545332</v>
      </c>
      <c r="M49" s="10">
        <f t="shared" si="20"/>
        <v>453052.03192836221</v>
      </c>
      <c r="N49" s="10">
        <f t="shared" si="20"/>
        <v>473649.0624432711</v>
      </c>
      <c r="O49" s="10">
        <f t="shared" si="20"/>
        <v>495555.49025018001</v>
      </c>
      <c r="P49" s="10">
        <f t="shared" si="20"/>
        <v>518771.31534908887</v>
      </c>
      <c r="Q49" s="10">
        <f t="shared" si="20"/>
        <v>543296.53773999773</v>
      </c>
      <c r="R49" s="10">
        <f t="shared" si="20"/>
        <v>569131.1574229066</v>
      </c>
      <c r="S49" s="10">
        <f t="shared" si="20"/>
        <v>596275.17439781548</v>
      </c>
      <c r="T49" s="10">
        <f t="shared" si="20"/>
        <v>624728.58866472438</v>
      </c>
      <c r="U49" s="10">
        <f t="shared" si="20"/>
        <v>654491.40022363327</v>
      </c>
      <c r="V49" s="10">
        <f t="shared" si="20"/>
        <v>747638.76907454222</v>
      </c>
      <c r="W49" s="10">
        <f t="shared" si="20"/>
        <v>840786.13792545116</v>
      </c>
      <c r="X49" s="10">
        <f t="shared" si="20"/>
        <v>933933.5067763601</v>
      </c>
      <c r="Y49" s="10">
        <f t="shared" si="20"/>
        <v>1027080.875627269</v>
      </c>
      <c r="Z49" s="12">
        <f t="shared" si="20"/>
        <v>1120228.244478178</v>
      </c>
    </row>
    <row r="50" spans="2:29">
      <c r="B50" s="4" t="s">
        <v>116</v>
      </c>
      <c r="C50" s="57"/>
      <c r="D50" s="57"/>
      <c r="E50" s="57"/>
      <c r="F50" s="5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123"/>
    </row>
    <row r="51" spans="2:29">
      <c r="B51" s="8" t="s">
        <v>96</v>
      </c>
      <c r="C51" s="9"/>
      <c r="D51" s="9"/>
      <c r="E51" s="9"/>
      <c r="F51" s="9"/>
      <c r="G51" s="10">
        <f t="shared" ref="G51:Z51" si="21">G28</f>
        <v>292500</v>
      </c>
      <c r="H51" s="10">
        <f t="shared" si="21"/>
        <v>292500</v>
      </c>
      <c r="I51" s="10">
        <f t="shared" si="21"/>
        <v>292500</v>
      </c>
      <c r="J51" s="10">
        <f t="shared" si="21"/>
        <v>292500</v>
      </c>
      <c r="K51" s="10">
        <f t="shared" si="21"/>
        <v>292500</v>
      </c>
      <c r="L51" s="10">
        <f t="shared" si="21"/>
        <v>292500</v>
      </c>
      <c r="M51" s="10">
        <f t="shared" si="21"/>
        <v>292500</v>
      </c>
      <c r="N51" s="10">
        <f t="shared" si="21"/>
        <v>292500</v>
      </c>
      <c r="O51" s="10">
        <f t="shared" si="21"/>
        <v>292500</v>
      </c>
      <c r="P51" s="10">
        <f t="shared" si="21"/>
        <v>292500</v>
      </c>
      <c r="Q51" s="10">
        <f t="shared" si="21"/>
        <v>292500</v>
      </c>
      <c r="R51" s="10">
        <f t="shared" si="21"/>
        <v>292500</v>
      </c>
      <c r="S51" s="10">
        <f t="shared" si="21"/>
        <v>292500</v>
      </c>
      <c r="T51" s="10">
        <f t="shared" si="21"/>
        <v>292500</v>
      </c>
      <c r="U51" s="10">
        <f t="shared" si="21"/>
        <v>292500</v>
      </c>
      <c r="V51" s="10">
        <f t="shared" si="21"/>
        <v>292500</v>
      </c>
      <c r="W51" s="10">
        <f t="shared" si="21"/>
        <v>292500</v>
      </c>
      <c r="X51" s="10">
        <f t="shared" si="21"/>
        <v>292500</v>
      </c>
      <c r="Y51" s="10">
        <f t="shared" si="21"/>
        <v>292500</v>
      </c>
      <c r="Z51" s="12">
        <f t="shared" si="21"/>
        <v>292500</v>
      </c>
    </row>
    <row r="52" spans="2:29">
      <c r="B52" s="8" t="s">
        <v>117</v>
      </c>
      <c r="C52" s="9"/>
      <c r="D52" s="9"/>
      <c r="E52" s="9"/>
      <c r="F52" s="9"/>
      <c r="G52" s="13">
        <f>-(C4+C10)/G10</f>
        <v>-77593.95</v>
      </c>
      <c r="H52" s="10">
        <f t="shared" ref="H52:Z52" si="22">IF(H23&gt;0,G52,0)</f>
        <v>-77593.95</v>
      </c>
      <c r="I52" s="10">
        <f t="shared" si="22"/>
        <v>-77593.95</v>
      </c>
      <c r="J52" s="10">
        <f t="shared" si="22"/>
        <v>-77593.95</v>
      </c>
      <c r="K52" s="10">
        <f t="shared" si="22"/>
        <v>-77593.95</v>
      </c>
      <c r="L52" s="10">
        <f t="shared" si="22"/>
        <v>-77593.95</v>
      </c>
      <c r="M52" s="10">
        <f t="shared" si="22"/>
        <v>-77593.95</v>
      </c>
      <c r="N52" s="10">
        <f t="shared" si="22"/>
        <v>-77593.95</v>
      </c>
      <c r="O52" s="10">
        <f t="shared" si="22"/>
        <v>-77593.95</v>
      </c>
      <c r="P52" s="10">
        <f t="shared" si="22"/>
        <v>-77593.95</v>
      </c>
      <c r="Q52" s="10">
        <f t="shared" si="22"/>
        <v>-77593.95</v>
      </c>
      <c r="R52" s="10">
        <f t="shared" si="22"/>
        <v>-77593.95</v>
      </c>
      <c r="S52" s="10">
        <f t="shared" si="22"/>
        <v>-77593.95</v>
      </c>
      <c r="T52" s="10">
        <f t="shared" si="22"/>
        <v>-77593.95</v>
      </c>
      <c r="U52" s="10">
        <f t="shared" si="22"/>
        <v>-77593.95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106">
        <f t="shared" si="22"/>
        <v>0</v>
      </c>
      <c r="AA52" s="154" t="s">
        <v>249</v>
      </c>
      <c r="AB52" s="25">
        <f>SUM(C52:Z52)</f>
        <v>-1163909.2499999998</v>
      </c>
      <c r="AC52" s="3">
        <f>AB52/($C$12*$G$8)</f>
        <v>-58.195462499999991</v>
      </c>
    </row>
    <row r="53" spans="2:29">
      <c r="B53" s="8" t="s">
        <v>102</v>
      </c>
      <c r="C53" s="9"/>
      <c r="D53" s="9"/>
      <c r="E53" s="9"/>
      <c r="F53" s="10">
        <f t="shared" ref="F53:Z53" si="23">F34</f>
        <v>-1860</v>
      </c>
      <c r="G53" s="10">
        <f t="shared" si="23"/>
        <v>-3720</v>
      </c>
      <c r="H53" s="10">
        <f t="shared" si="23"/>
        <v>-3720</v>
      </c>
      <c r="I53" s="10">
        <f t="shared" si="23"/>
        <v>-3720</v>
      </c>
      <c r="J53" s="10">
        <f t="shared" si="23"/>
        <v>-3720</v>
      </c>
      <c r="K53" s="10">
        <f t="shared" si="23"/>
        <v>-3720</v>
      </c>
      <c r="L53" s="10">
        <f t="shared" si="23"/>
        <v>-3720</v>
      </c>
      <c r="M53" s="10">
        <f t="shared" si="23"/>
        <v>-3720</v>
      </c>
      <c r="N53" s="10">
        <f t="shared" si="23"/>
        <v>-3720</v>
      </c>
      <c r="O53" s="10">
        <f t="shared" si="23"/>
        <v>-3720</v>
      </c>
      <c r="P53" s="10">
        <f t="shared" si="23"/>
        <v>-3720</v>
      </c>
      <c r="Q53" s="10">
        <f t="shared" si="23"/>
        <v>-3720</v>
      </c>
      <c r="R53" s="10">
        <f t="shared" si="23"/>
        <v>-3720</v>
      </c>
      <c r="S53" s="10">
        <f t="shared" si="23"/>
        <v>-3720</v>
      </c>
      <c r="T53" s="10">
        <f t="shared" si="23"/>
        <v>-3720</v>
      </c>
      <c r="U53" s="10">
        <f t="shared" si="23"/>
        <v>-3720</v>
      </c>
      <c r="V53" s="10">
        <f t="shared" si="23"/>
        <v>-3720</v>
      </c>
      <c r="W53" s="10">
        <f t="shared" si="23"/>
        <v>-3720</v>
      </c>
      <c r="X53" s="10">
        <f t="shared" si="23"/>
        <v>-3720</v>
      </c>
      <c r="Y53" s="10">
        <f t="shared" si="23"/>
        <v>-3720</v>
      </c>
      <c r="Z53" s="12">
        <f t="shared" si="23"/>
        <v>-3720</v>
      </c>
    </row>
    <row r="54" spans="2:29">
      <c r="B54" s="8" t="s">
        <v>103</v>
      </c>
      <c r="C54" s="9"/>
      <c r="D54" s="9"/>
      <c r="E54" s="9"/>
      <c r="F54" s="10">
        <f t="shared" ref="F54:Z54" si="24">F35</f>
        <v>-3335.4750000000004</v>
      </c>
      <c r="G54" s="10">
        <f t="shared" si="24"/>
        <v>-6670.9500000000007</v>
      </c>
      <c r="H54" s="10">
        <f t="shared" si="24"/>
        <v>-6670.9500000000007</v>
      </c>
      <c r="I54" s="10">
        <f t="shared" si="24"/>
        <v>-6670.9500000000007</v>
      </c>
      <c r="J54" s="10">
        <f t="shared" si="24"/>
        <v>-6670.9500000000007</v>
      </c>
      <c r="K54" s="10">
        <f t="shared" si="24"/>
        <v>-6670.9500000000007</v>
      </c>
      <c r="L54" s="10">
        <f t="shared" si="24"/>
        <v>-6670.9500000000007</v>
      </c>
      <c r="M54" s="10">
        <f t="shared" si="24"/>
        <v>-6670.9500000000007</v>
      </c>
      <c r="N54" s="10">
        <f t="shared" si="24"/>
        <v>-6670.9500000000007</v>
      </c>
      <c r="O54" s="10">
        <f t="shared" si="24"/>
        <v>-6670.9500000000007</v>
      </c>
      <c r="P54" s="10">
        <f t="shared" si="24"/>
        <v>-6670.9500000000007</v>
      </c>
      <c r="Q54" s="10">
        <f t="shared" si="24"/>
        <v>-6670.9500000000007</v>
      </c>
      <c r="R54" s="10">
        <f t="shared" si="24"/>
        <v>-6670.9500000000007</v>
      </c>
      <c r="S54" s="10">
        <f t="shared" si="24"/>
        <v>-6670.9500000000007</v>
      </c>
      <c r="T54" s="10">
        <f t="shared" si="24"/>
        <v>-6670.9500000000007</v>
      </c>
      <c r="U54" s="10">
        <f t="shared" si="24"/>
        <v>-6670.9500000000007</v>
      </c>
      <c r="V54" s="10">
        <f t="shared" si="24"/>
        <v>-6670.9500000000007</v>
      </c>
      <c r="W54" s="10">
        <f t="shared" si="24"/>
        <v>-6670.9500000000007</v>
      </c>
      <c r="X54" s="10">
        <f t="shared" si="24"/>
        <v>-6670.9500000000007</v>
      </c>
      <c r="Y54" s="10">
        <f t="shared" si="24"/>
        <v>-6670.9500000000007</v>
      </c>
      <c r="Z54" s="12">
        <f t="shared" si="24"/>
        <v>-6670.9500000000007</v>
      </c>
    </row>
    <row r="55" spans="2:29">
      <c r="B55" s="8" t="s">
        <v>104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29">
      <c r="B56" s="8" t="s">
        <v>118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29" ht="15.75">
      <c r="B57" s="34" t="s">
        <v>106</v>
      </c>
      <c r="C57" s="9"/>
      <c r="D57" s="9"/>
      <c r="E57" s="9"/>
      <c r="F57" s="10"/>
      <c r="G57" s="10">
        <f t="shared" ref="G57:Z57" si="27">G38</f>
        <v>-125026.11180904522</v>
      </c>
      <c r="H57" s="10">
        <f t="shared" si="27"/>
        <v>-125026.11180904522</v>
      </c>
      <c r="I57" s="10">
        <f t="shared" si="27"/>
        <v>-125026.11180904522</v>
      </c>
      <c r="J57" s="10">
        <f t="shared" si="27"/>
        <v>-125026.11180904522</v>
      </c>
      <c r="K57" s="10">
        <f t="shared" si="27"/>
        <v>-125026.11180904522</v>
      </c>
      <c r="L57" s="10">
        <f t="shared" si="27"/>
        <v>-125026.11180904522</v>
      </c>
      <c r="M57" s="10">
        <f t="shared" si="27"/>
        <v>-125026.11180904522</v>
      </c>
      <c r="N57" s="10">
        <f t="shared" si="27"/>
        <v>-125026.11180904522</v>
      </c>
      <c r="O57" s="10">
        <f t="shared" si="27"/>
        <v>-125026.11180904522</v>
      </c>
      <c r="P57" s="10">
        <f t="shared" si="27"/>
        <v>-125026.11180904522</v>
      </c>
      <c r="Q57" s="10">
        <f t="shared" si="27"/>
        <v>-125026.11180904522</v>
      </c>
      <c r="R57" s="10">
        <f t="shared" si="27"/>
        <v>-125026.11180904522</v>
      </c>
      <c r="S57" s="10">
        <f t="shared" si="27"/>
        <v>-125026.11180904522</v>
      </c>
      <c r="T57" s="10">
        <f t="shared" si="27"/>
        <v>-125026.11180904522</v>
      </c>
      <c r="U57" s="10">
        <f t="shared" si="27"/>
        <v>-125026.11180904522</v>
      </c>
      <c r="V57" s="10">
        <f t="shared" si="27"/>
        <v>-125026.11180904522</v>
      </c>
      <c r="W57" s="10">
        <f t="shared" si="27"/>
        <v>-125026.11180904522</v>
      </c>
      <c r="X57" s="10">
        <f t="shared" si="27"/>
        <v>-125026.11180904522</v>
      </c>
      <c r="Y57" s="10">
        <f t="shared" si="27"/>
        <v>-125026.11180904522</v>
      </c>
      <c r="Z57" s="12">
        <f t="shared" si="27"/>
        <v>-125026.11180904522</v>
      </c>
    </row>
    <row r="58" spans="2:29">
      <c r="B58" s="8" t="s">
        <v>107</v>
      </c>
      <c r="C58" s="9"/>
      <c r="D58" s="9"/>
      <c r="E58" s="9"/>
      <c r="F58" s="10"/>
      <c r="G58" s="10">
        <f t="shared" ref="G58:Z58" si="28">G39</f>
        <v>-12515.727127318656</v>
      </c>
      <c r="H58" s="10">
        <f t="shared" si="28"/>
        <v>-12515.727127318656</v>
      </c>
      <c r="I58" s="10">
        <f t="shared" si="28"/>
        <v>-12515.727127318656</v>
      </c>
      <c r="J58" s="10">
        <f t="shared" si="28"/>
        <v>-12515.727127318656</v>
      </c>
      <c r="K58" s="10">
        <f t="shared" si="28"/>
        <v>-12515.727127318656</v>
      </c>
      <c r="L58" s="10">
        <f t="shared" si="28"/>
        <v>-12515.727127318656</v>
      </c>
      <c r="M58" s="10">
        <f t="shared" si="28"/>
        <v>-12515.727127318656</v>
      </c>
      <c r="N58" s="10">
        <f t="shared" si="28"/>
        <v>-12515.727127318656</v>
      </c>
      <c r="O58" s="10">
        <f t="shared" si="28"/>
        <v>-12515.727127318656</v>
      </c>
      <c r="P58" s="10">
        <f t="shared" si="28"/>
        <v>-12515.727127318656</v>
      </c>
      <c r="Q58" s="10">
        <f t="shared" si="28"/>
        <v>-12515.727127318656</v>
      </c>
      <c r="R58" s="10">
        <f t="shared" si="28"/>
        <v>-12515.727127318656</v>
      </c>
      <c r="S58" s="10">
        <f t="shared" si="28"/>
        <v>-12515.727127318656</v>
      </c>
      <c r="T58" s="10">
        <f t="shared" si="28"/>
        <v>-12515.727127318656</v>
      </c>
      <c r="U58" s="10">
        <f t="shared" si="28"/>
        <v>-12515.727127318656</v>
      </c>
      <c r="V58" s="10">
        <f t="shared" si="28"/>
        <v>-12515.727127318656</v>
      </c>
      <c r="W58" s="10">
        <f t="shared" si="28"/>
        <v>-12515.727127318656</v>
      </c>
      <c r="X58" s="10">
        <f t="shared" si="28"/>
        <v>-12515.727127318656</v>
      </c>
      <c r="Y58" s="10">
        <f t="shared" si="28"/>
        <v>-12515.727127318656</v>
      </c>
      <c r="Z58" s="12">
        <f t="shared" si="28"/>
        <v>-12515.727127318656</v>
      </c>
    </row>
    <row r="59" spans="2:29">
      <c r="B59" s="46"/>
      <c r="C59" s="47"/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124"/>
    </row>
    <row r="60" spans="2:29">
      <c r="B60" s="8" t="s">
        <v>109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-24551.199224999997</v>
      </c>
      <c r="H60" s="10">
        <f t="shared" si="29"/>
        <v>-22914.452609999997</v>
      </c>
      <c r="I60" s="10">
        <f t="shared" si="29"/>
        <v>-21277.705995</v>
      </c>
      <c r="J60" s="10">
        <f t="shared" si="29"/>
        <v>-19640.95938</v>
      </c>
      <c r="K60" s="10">
        <f t="shared" si="29"/>
        <v>-18004.212765000004</v>
      </c>
      <c r="L60" s="10">
        <f t="shared" si="29"/>
        <v>-16367.466150000006</v>
      </c>
      <c r="M60" s="10">
        <f t="shared" si="29"/>
        <v>-14730.719535000006</v>
      </c>
      <c r="N60" s="10">
        <f t="shared" si="29"/>
        <v>-13093.972920000006</v>
      </c>
      <c r="O60" s="10">
        <f t="shared" si="29"/>
        <v>-11457.226305000006</v>
      </c>
      <c r="P60" s="10">
        <f t="shared" si="29"/>
        <v>-9820.4796900000056</v>
      </c>
      <c r="Q60" s="10">
        <f t="shared" si="29"/>
        <v>-8183.7330750000065</v>
      </c>
      <c r="R60" s="10">
        <f t="shared" si="29"/>
        <v>-6546.9864600000064</v>
      </c>
      <c r="S60" s="10">
        <f t="shared" si="29"/>
        <v>-4910.2398450000064</v>
      </c>
      <c r="T60" s="10">
        <f t="shared" si="29"/>
        <v>-3273.4932300000064</v>
      </c>
      <c r="U60" s="10">
        <f t="shared" si="29"/>
        <v>-1636.7466150000071</v>
      </c>
      <c r="V60" s="10">
        <f t="shared" si="29"/>
        <v>-7.4214767664670946E-12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</row>
    <row r="61" spans="2:29">
      <c r="B61" s="8" t="s">
        <v>119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-5195.4750000000004</v>
      </c>
      <c r="G61" s="10">
        <f t="shared" si="30"/>
        <v>14289.061838636102</v>
      </c>
      <c r="H61" s="10">
        <f t="shared" si="30"/>
        <v>15925.808453636102</v>
      </c>
      <c r="I61" s="10">
        <f t="shared" si="30"/>
        <v>17562.555068636098</v>
      </c>
      <c r="J61" s="10">
        <f t="shared" si="30"/>
        <v>19199.301683636098</v>
      </c>
      <c r="K61" s="10">
        <f t="shared" si="30"/>
        <v>20836.048298636095</v>
      </c>
      <c r="L61" s="10">
        <f t="shared" si="30"/>
        <v>22472.794913636091</v>
      </c>
      <c r="M61" s="10">
        <f t="shared" si="30"/>
        <v>24109.541528636095</v>
      </c>
      <c r="N61" s="10">
        <f t="shared" si="30"/>
        <v>25746.288143636091</v>
      </c>
      <c r="O61" s="10">
        <f t="shared" si="30"/>
        <v>27383.034758636095</v>
      </c>
      <c r="P61" s="10">
        <f t="shared" si="30"/>
        <v>29019.781373636091</v>
      </c>
      <c r="Q61" s="10">
        <f t="shared" si="30"/>
        <v>30656.527988636091</v>
      </c>
      <c r="R61" s="10">
        <f t="shared" si="30"/>
        <v>32293.274603636091</v>
      </c>
      <c r="S61" s="10">
        <f t="shared" si="30"/>
        <v>33930.021218636095</v>
      </c>
      <c r="T61" s="10">
        <f t="shared" si="30"/>
        <v>35566.767833636091</v>
      </c>
      <c r="U61" s="10">
        <f t="shared" si="30"/>
        <v>37203.514448636095</v>
      </c>
      <c r="V61" s="10">
        <f t="shared" si="30"/>
        <v>116434.2110636361</v>
      </c>
      <c r="W61" s="10">
        <f t="shared" si="30"/>
        <v>116434.21106363612</v>
      </c>
      <c r="X61" s="10">
        <f t="shared" si="30"/>
        <v>116434.21106363612</v>
      </c>
      <c r="Y61" s="10">
        <f t="shared" si="30"/>
        <v>116434.21106363612</v>
      </c>
      <c r="Z61" s="12">
        <f t="shared" si="30"/>
        <v>116434.21106363612</v>
      </c>
    </row>
    <row r="62" spans="2:29">
      <c r="B62" s="157" t="s">
        <v>252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-2857.8123677272206</v>
      </c>
      <c r="H62" s="13">
        <f t="shared" si="31"/>
        <v>-3185.1616907272205</v>
      </c>
      <c r="I62" s="13">
        <f t="shared" si="31"/>
        <v>-3512.51101372722</v>
      </c>
      <c r="J62" s="13">
        <f t="shared" si="31"/>
        <v>-3839.8603367272199</v>
      </c>
      <c r="K62" s="13">
        <f t="shared" si="31"/>
        <v>-4167.2096597272193</v>
      </c>
      <c r="L62" s="13">
        <f t="shared" si="31"/>
        <v>-4494.5589827272188</v>
      </c>
      <c r="M62" s="13">
        <f t="shared" si="31"/>
        <v>-4821.9083057272192</v>
      </c>
      <c r="N62" s="13">
        <f t="shared" si="31"/>
        <v>-5149.2576287272186</v>
      </c>
      <c r="O62" s="13">
        <f t="shared" si="31"/>
        <v>-5476.606951727219</v>
      </c>
      <c r="P62" s="13">
        <f t="shared" si="31"/>
        <v>-5803.9562747272184</v>
      </c>
      <c r="Q62" s="13">
        <f t="shared" si="31"/>
        <v>-6131.3055977272188</v>
      </c>
      <c r="R62" s="13">
        <f t="shared" si="31"/>
        <v>-6458.6549207272183</v>
      </c>
      <c r="S62" s="13">
        <f t="shared" si="31"/>
        <v>-6786.0042437272195</v>
      </c>
      <c r="T62" s="13">
        <f t="shared" si="31"/>
        <v>-7113.353566727219</v>
      </c>
      <c r="U62" s="13">
        <f t="shared" si="31"/>
        <v>-7440.7028897272194</v>
      </c>
      <c r="V62" s="13">
        <f t="shared" si="31"/>
        <v>-23286.842212727221</v>
      </c>
      <c r="W62" s="13">
        <f t="shared" si="31"/>
        <v>-23286.842212727224</v>
      </c>
      <c r="X62" s="13">
        <f t="shared" si="31"/>
        <v>-23286.842212727224</v>
      </c>
      <c r="Y62" s="13">
        <f t="shared" si="31"/>
        <v>-23286.842212727224</v>
      </c>
      <c r="Z62" s="18">
        <f t="shared" si="31"/>
        <v>-23286.842212727224</v>
      </c>
      <c r="AA62" s="155" t="s">
        <v>207</v>
      </c>
      <c r="AB62" s="25">
        <f>SUM(C62:Z62)</f>
        <v>-193673.07549454444</v>
      </c>
      <c r="AC62" s="3">
        <f>AB62/($C$12*$G$8)</f>
        <v>-9.6836537747272224</v>
      </c>
    </row>
    <row r="63" spans="2:29" ht="15" thickBot="1">
      <c r="B63" s="19" t="s">
        <v>120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-5195.4750000000004</v>
      </c>
      <c r="G63" s="20">
        <f>SUM(G61:G62)</f>
        <v>11431.249470908882</v>
      </c>
      <c r="H63" s="20">
        <f t="shared" ref="H63:Z63" si="32">SUM(H61:H62)</f>
        <v>12740.646762908882</v>
      </c>
      <c r="I63" s="20">
        <f t="shared" si="32"/>
        <v>14050.044054908878</v>
      </c>
      <c r="J63" s="20">
        <f t="shared" si="32"/>
        <v>15359.441346908879</v>
      </c>
      <c r="K63" s="20">
        <f t="shared" si="32"/>
        <v>16668.838638908877</v>
      </c>
      <c r="L63" s="20">
        <f t="shared" si="32"/>
        <v>17978.235930908872</v>
      </c>
      <c r="M63" s="20">
        <f t="shared" si="32"/>
        <v>19287.633222908877</v>
      </c>
      <c r="N63" s="20">
        <f t="shared" si="32"/>
        <v>20597.030514908874</v>
      </c>
      <c r="O63" s="20">
        <f t="shared" si="32"/>
        <v>21906.427806908876</v>
      </c>
      <c r="P63" s="20">
        <f t="shared" si="32"/>
        <v>23215.825098908874</v>
      </c>
      <c r="Q63" s="20">
        <f t="shared" si="32"/>
        <v>24525.222390908872</v>
      </c>
      <c r="R63" s="20">
        <f t="shared" si="32"/>
        <v>25834.619682908873</v>
      </c>
      <c r="S63" s="20">
        <f t="shared" si="32"/>
        <v>27144.016974908875</v>
      </c>
      <c r="T63" s="20">
        <f t="shared" si="32"/>
        <v>28453.414266908872</v>
      </c>
      <c r="U63" s="20">
        <f t="shared" si="32"/>
        <v>29762.811558908877</v>
      </c>
      <c r="V63" s="20">
        <f t="shared" si="32"/>
        <v>93147.368850908882</v>
      </c>
      <c r="W63" s="20">
        <f t="shared" si="32"/>
        <v>93147.368850908897</v>
      </c>
      <c r="X63" s="20">
        <f t="shared" si="32"/>
        <v>93147.368850908897</v>
      </c>
      <c r="Y63" s="20">
        <f t="shared" si="32"/>
        <v>93147.368850908897</v>
      </c>
      <c r="Z63" s="21">
        <f t="shared" si="32"/>
        <v>93147.368850908897</v>
      </c>
      <c r="AA63" s="3" t="s">
        <v>121</v>
      </c>
      <c r="AB63" s="25">
        <f>SUM(C63:Z63)</f>
        <v>769496.82697817776</v>
      </c>
      <c r="AC63" s="98">
        <f>AB63/($C$12*$G$8)</f>
        <v>38.474841348908889</v>
      </c>
    </row>
    <row r="64" spans="2:29">
      <c r="F64" s="154" t="s">
        <v>251</v>
      </c>
      <c r="G64" s="43">
        <f t="shared" ref="G64:Z64" si="33">(G61-G60)/G51</f>
        <v>0.13278721731157642</v>
      </c>
      <c r="H64" s="43">
        <f t="shared" si="33"/>
        <v>0.13278721731157642</v>
      </c>
      <c r="I64" s="43">
        <f t="shared" si="33"/>
        <v>0.13278721731157642</v>
      </c>
      <c r="J64" s="43">
        <f t="shared" si="33"/>
        <v>0.13278721731157642</v>
      </c>
      <c r="K64" s="43">
        <f t="shared" si="33"/>
        <v>0.13278721731157642</v>
      </c>
      <c r="L64" s="43">
        <f t="shared" si="33"/>
        <v>0.13278721731157642</v>
      </c>
      <c r="M64" s="43">
        <f t="shared" si="33"/>
        <v>0.13278721731157642</v>
      </c>
      <c r="N64" s="43">
        <f t="shared" si="33"/>
        <v>0.13278721731157642</v>
      </c>
      <c r="O64" s="43">
        <f t="shared" si="33"/>
        <v>0.13278721731157642</v>
      </c>
      <c r="P64" s="43">
        <f t="shared" si="33"/>
        <v>0.13278721731157642</v>
      </c>
      <c r="Q64" s="43">
        <f t="shared" si="33"/>
        <v>0.13278721731157642</v>
      </c>
      <c r="R64" s="43">
        <f t="shared" si="33"/>
        <v>0.13278721731157642</v>
      </c>
      <c r="S64" s="43">
        <f t="shared" si="33"/>
        <v>0.13278721731157642</v>
      </c>
      <c r="T64" s="43">
        <f t="shared" si="33"/>
        <v>0.13278721731157642</v>
      </c>
      <c r="U64" s="43">
        <f t="shared" si="33"/>
        <v>0.13278721731157642</v>
      </c>
      <c r="V64" s="43">
        <f t="shared" si="33"/>
        <v>0.39806567885003802</v>
      </c>
      <c r="W64" s="43">
        <f t="shared" si="33"/>
        <v>0.39806567885003802</v>
      </c>
      <c r="X64" s="43">
        <f t="shared" si="33"/>
        <v>0.39806567885003802</v>
      </c>
      <c r="Y64" s="43">
        <f t="shared" si="33"/>
        <v>0.39806567885003802</v>
      </c>
      <c r="Z64" s="43">
        <f t="shared" si="33"/>
        <v>0.39806567885003802</v>
      </c>
    </row>
    <row r="65" spans="2:29">
      <c r="B65" s="3" t="s">
        <v>267</v>
      </c>
      <c r="G65" s="138">
        <f>IF(G41&lt;0,G24/(-G41-G42),300%)</f>
        <v>1.4718122249965238</v>
      </c>
      <c r="H65" s="138">
        <f t="shared" ref="H65:Z65" si="34">IF(H41&lt;0,H24/(-H41-H42),300%)</f>
        <v>1.5029068494682811</v>
      </c>
      <c r="I65" s="138">
        <f t="shared" si="34"/>
        <v>1.5353436879460138</v>
      </c>
      <c r="J65" s="138">
        <f t="shared" si="34"/>
        <v>1.5692115634154116</v>
      </c>
      <c r="K65" s="138">
        <f t="shared" si="34"/>
        <v>1.5374453679099556</v>
      </c>
      <c r="L65" s="138">
        <f t="shared" si="34"/>
        <v>1.5080209997993634</v>
      </c>
      <c r="M65" s="138">
        <f t="shared" si="34"/>
        <v>1.4938157638215523</v>
      </c>
      <c r="N65" s="138">
        <f t="shared" si="34"/>
        <v>1.491681500233081</v>
      </c>
      <c r="O65" s="138">
        <f t="shared" si="34"/>
        <v>1.4992473888146751</v>
      </c>
      <c r="P65" s="138">
        <f t="shared" si="34"/>
        <v>1.5147394496595845</v>
      </c>
      <c r="Q65" s="138">
        <f t="shared" si="34"/>
        <v>1.5368434419110646</v>
      </c>
      <c r="R65" s="138">
        <f t="shared" si="34"/>
        <v>1.5646009052654328</v>
      </c>
      <c r="S65" s="138">
        <f t="shared" si="34"/>
        <v>1.5973305556623445</v>
      </c>
      <c r="T65" s="138">
        <f t="shared" si="34"/>
        <v>1.6345691268895834</v>
      </c>
      <c r="U65" s="138">
        <f t="shared" si="34"/>
        <v>1.676027185559428</v>
      </c>
      <c r="V65" s="138">
        <f t="shared" si="34"/>
        <v>3</v>
      </c>
      <c r="W65" s="138">
        <f t="shared" si="34"/>
        <v>3</v>
      </c>
      <c r="X65" s="138">
        <f t="shared" si="34"/>
        <v>3</v>
      </c>
      <c r="Y65" s="138">
        <f t="shared" si="34"/>
        <v>3</v>
      </c>
      <c r="Z65" s="138">
        <f t="shared" si="34"/>
        <v>3</v>
      </c>
    </row>
    <row r="66" spans="2:29" ht="15" thickBot="1">
      <c r="B66" s="231" t="s">
        <v>253</v>
      </c>
      <c r="G66" s="139">
        <f>IF(G65&gt;=110%,G44,0)</f>
        <v>37324.791338636132</v>
      </c>
      <c r="H66" s="139">
        <f t="shared" ref="H66:Z66" si="35">IF(H65&gt;=110%,H44,0)</f>
        <v>38961.537953636129</v>
      </c>
      <c r="I66" s="139">
        <f t="shared" si="35"/>
        <v>40598.284568636125</v>
      </c>
      <c r="J66" s="139">
        <f t="shared" si="35"/>
        <v>42235.031183636129</v>
      </c>
      <c r="K66" s="139">
        <f t="shared" si="35"/>
        <v>38998.343642549524</v>
      </c>
      <c r="L66" s="139">
        <f t="shared" si="35"/>
        <v>36031.738243389365</v>
      </c>
      <c r="M66" s="139">
        <f t="shared" si="35"/>
        <v>34215.970847769255</v>
      </c>
      <c r="N66" s="139">
        <f t="shared" si="35"/>
        <v>33263.331954804162</v>
      </c>
      <c r="O66" s="139">
        <f t="shared" si="35"/>
        <v>32958.039438830354</v>
      </c>
      <c r="P66" s="139">
        <f t="shared" si="35"/>
        <v>33138.256705599983</v>
      </c>
      <c r="Q66" s="139">
        <f t="shared" si="35"/>
        <v>33682.60630942721</v>
      </c>
      <c r="R66" s="139">
        <f t="shared" si="35"/>
        <v>34500.055166047634</v>
      </c>
      <c r="S66" s="139">
        <f t="shared" si="35"/>
        <v>35522.328462262951</v>
      </c>
      <c r="T66" s="139">
        <f t="shared" si="35"/>
        <v>36698.220088174436</v>
      </c>
      <c r="U66" s="139">
        <f t="shared" si="35"/>
        <v>37989.32546135805</v>
      </c>
      <c r="V66" s="139">
        <f t="shared" si="35"/>
        <v>93925.061644995745</v>
      </c>
      <c r="W66" s="139">
        <f t="shared" si="35"/>
        <v>93730.63844647404</v>
      </c>
      <c r="X66" s="139">
        <f t="shared" si="35"/>
        <v>93730.63844647404</v>
      </c>
      <c r="Y66" s="139">
        <f t="shared" si="35"/>
        <v>93730.63844647404</v>
      </c>
      <c r="Z66" s="139">
        <f t="shared" si="35"/>
        <v>93730.63844647404</v>
      </c>
    </row>
    <row r="67" spans="2:29" ht="15" thickBot="1">
      <c r="B67" s="3" t="s">
        <v>122</v>
      </c>
      <c r="C67" s="132">
        <f>IRR(C68:Z68)</f>
        <v>8.9928103172148832E-2</v>
      </c>
    </row>
    <row r="68" spans="2:29">
      <c r="B68" s="104" t="s">
        <v>123</v>
      </c>
      <c r="C68" s="105">
        <f>-C30</f>
        <v>-52375.916250000002</v>
      </c>
      <c r="D68" s="105">
        <f>-D30</f>
        <v>-104751.8325</v>
      </c>
      <c r="E68" s="105">
        <f>-E30</f>
        <v>-139669.10999999999</v>
      </c>
      <c r="F68" s="105">
        <f>-F30</f>
        <v>-53934.558750000004</v>
      </c>
      <c r="G68" s="105">
        <f>G66</f>
        <v>37324.791338636132</v>
      </c>
      <c r="H68" s="105">
        <f t="shared" ref="H68:Y68" si="36">H66</f>
        <v>38961.537953636129</v>
      </c>
      <c r="I68" s="105">
        <f t="shared" si="36"/>
        <v>40598.284568636125</v>
      </c>
      <c r="J68" s="105">
        <f t="shared" si="36"/>
        <v>42235.031183636129</v>
      </c>
      <c r="K68" s="105">
        <f t="shared" si="36"/>
        <v>38998.343642549524</v>
      </c>
      <c r="L68" s="105">
        <f t="shared" si="36"/>
        <v>36031.738243389365</v>
      </c>
      <c r="M68" s="105">
        <f t="shared" si="36"/>
        <v>34215.970847769255</v>
      </c>
      <c r="N68" s="105">
        <f t="shared" si="36"/>
        <v>33263.331954804162</v>
      </c>
      <c r="O68" s="105">
        <f t="shared" si="36"/>
        <v>32958.039438830354</v>
      </c>
      <c r="P68" s="105">
        <f t="shared" si="36"/>
        <v>33138.256705599983</v>
      </c>
      <c r="Q68" s="105">
        <f t="shared" si="36"/>
        <v>33682.60630942721</v>
      </c>
      <c r="R68" s="105">
        <f t="shared" si="36"/>
        <v>34500.055166047634</v>
      </c>
      <c r="S68" s="105">
        <f t="shared" si="36"/>
        <v>35522.328462262951</v>
      </c>
      <c r="T68" s="105">
        <f t="shared" si="36"/>
        <v>36698.220088174436</v>
      </c>
      <c r="U68" s="105">
        <f t="shared" si="36"/>
        <v>37989.32546135805</v>
      </c>
      <c r="V68" s="105">
        <f t="shared" si="36"/>
        <v>93925.061644995745</v>
      </c>
      <c r="W68" s="105">
        <f t="shared" si="36"/>
        <v>93730.63844647404</v>
      </c>
      <c r="X68" s="105">
        <f t="shared" si="36"/>
        <v>93730.63844647404</v>
      </c>
      <c r="Y68" s="105">
        <f t="shared" si="36"/>
        <v>93730.63844647404</v>
      </c>
      <c r="Z68" s="105">
        <f>Z66+Z44/(G12-C18)*G13</f>
        <v>93730.63844647404</v>
      </c>
      <c r="AB68" s="25">
        <f>SUM(C68:Z68)</f>
        <v>664234.05929564941</v>
      </c>
      <c r="AC68" s="98">
        <f>AB68/($C$12*$G$8)</f>
        <v>33.211702964782468</v>
      </c>
    </row>
    <row r="69" spans="2:29">
      <c r="Z69" s="35"/>
    </row>
    <row r="70" spans="2:29">
      <c r="B70" s="232" t="s">
        <v>268</v>
      </c>
      <c r="C70" s="23"/>
      <c r="D70" s="23"/>
      <c r="E70" s="23"/>
      <c r="F70" s="23"/>
      <c r="G70" s="128"/>
      <c r="H70" s="23"/>
      <c r="I70" s="23"/>
      <c r="J70" s="23"/>
      <c r="K70" s="23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22"/>
    </row>
    <row r="71" spans="2:29">
      <c r="B71" s="233" t="s">
        <v>254</v>
      </c>
      <c r="C71" s="30">
        <v>0.25</v>
      </c>
      <c r="Z71" s="24"/>
    </row>
    <row r="72" spans="2:29">
      <c r="B72" s="234" t="s">
        <v>255</v>
      </c>
      <c r="G72" s="25">
        <f>-(C4+C10)*$C71</f>
        <v>-290977.3125</v>
      </c>
      <c r="H72" s="25">
        <f t="shared" ref="H72:M72" si="37">-G73*$C71</f>
        <v>-218232.984375</v>
      </c>
      <c r="I72" s="25">
        <f t="shared" si="37"/>
        <v>-163674.73828125</v>
      </c>
      <c r="J72" s="25">
        <f t="shared" si="37"/>
        <v>-122756.0537109375</v>
      </c>
      <c r="K72" s="25">
        <f t="shared" si="37"/>
        <v>-92067.040283203125</v>
      </c>
      <c r="L72" s="25">
        <f t="shared" si="37"/>
        <v>-69050.280212402344</v>
      </c>
      <c r="M72" s="25">
        <f t="shared" si="37"/>
        <v>-51787.710159301758</v>
      </c>
      <c r="N72" s="25">
        <f t="shared" ref="N72:W72" si="38">-M73*$C71</f>
        <v>-38840.782619476318</v>
      </c>
      <c r="O72" s="25">
        <f t="shared" si="38"/>
        <v>-29130.586964607239</v>
      </c>
      <c r="P72" s="25">
        <f t="shared" si="38"/>
        <v>-21847.940223455429</v>
      </c>
      <c r="Q72" s="25">
        <f t="shared" si="38"/>
        <v>-16385.955167591572</v>
      </c>
      <c r="R72" s="25">
        <f t="shared" si="38"/>
        <v>-12289.466375693679</v>
      </c>
      <c r="S72" s="25">
        <f t="shared" si="38"/>
        <v>-9217.0997817702591</v>
      </c>
      <c r="T72" s="25">
        <f t="shared" si="38"/>
        <v>-6912.8248363276944</v>
      </c>
      <c r="U72" s="25">
        <f t="shared" si="38"/>
        <v>-5184.6186272457708</v>
      </c>
      <c r="V72" s="25">
        <f t="shared" si="38"/>
        <v>-3888.4639704343281</v>
      </c>
      <c r="W72" s="25">
        <f t="shared" si="38"/>
        <v>-2916.3479778257461</v>
      </c>
      <c r="X72" s="130">
        <f>-W73/3</f>
        <v>-2916.3479778257461</v>
      </c>
      <c r="Y72" s="27">
        <f>-W73/3</f>
        <v>-2916.3479778257461</v>
      </c>
      <c r="Z72" s="28">
        <f>-W73/3</f>
        <v>-2916.3479778257461</v>
      </c>
    </row>
    <row r="73" spans="2:29">
      <c r="B73" s="234" t="s">
        <v>256</v>
      </c>
      <c r="G73" s="22">
        <f>C4+C10+G72</f>
        <v>872931.9375</v>
      </c>
      <c r="H73" s="22">
        <f>G73+H72</f>
        <v>654698.953125</v>
      </c>
      <c r="I73" s="22">
        <f>H73+I72</f>
        <v>491024.21484375</v>
      </c>
      <c r="J73" s="22">
        <f>I73+J72</f>
        <v>368268.1611328125</v>
      </c>
      <c r="K73" s="22">
        <f>J73+K72</f>
        <v>276201.12084960938</v>
      </c>
      <c r="L73" s="22">
        <f>K73+L72</f>
        <v>207150.84063720703</v>
      </c>
      <c r="M73" s="22">
        <f t="shared" ref="M73:Z73" si="39">L73+M72</f>
        <v>155363.13047790527</v>
      </c>
      <c r="N73" s="22">
        <f t="shared" si="39"/>
        <v>116522.34785842896</v>
      </c>
      <c r="O73" s="22">
        <f t="shared" si="39"/>
        <v>87391.760893821716</v>
      </c>
      <c r="P73" s="22">
        <f t="shared" si="39"/>
        <v>65543.820670366287</v>
      </c>
      <c r="Q73" s="22">
        <f t="shared" si="39"/>
        <v>49157.865502774715</v>
      </c>
      <c r="R73" s="22">
        <f t="shared" si="39"/>
        <v>36868.399127081037</v>
      </c>
      <c r="S73" s="22">
        <f t="shared" si="39"/>
        <v>27651.299345310777</v>
      </c>
      <c r="T73" s="22">
        <f t="shared" si="39"/>
        <v>20738.474508983083</v>
      </c>
      <c r="U73" s="22">
        <f t="shared" si="39"/>
        <v>15553.855881737312</v>
      </c>
      <c r="V73" s="22">
        <f t="shared" si="39"/>
        <v>11665.391911302984</v>
      </c>
      <c r="W73" s="22">
        <f t="shared" si="39"/>
        <v>8749.0439334772382</v>
      </c>
      <c r="X73" s="22">
        <f t="shared" si="39"/>
        <v>5832.6959556514921</v>
      </c>
      <c r="Y73" s="22">
        <f t="shared" si="39"/>
        <v>2916.3479778257461</v>
      </c>
      <c r="Z73" s="26">
        <f t="shared" si="39"/>
        <v>0</v>
      </c>
    </row>
    <row r="74" spans="2:29" ht="28.5">
      <c r="B74" s="235" t="s">
        <v>269</v>
      </c>
      <c r="G74" s="22">
        <f t="shared" ref="G74:Z74" si="40">SUM(G51,G53,G54,G55,G56,G57,G58,G72)</f>
        <v>-174543.10143636388</v>
      </c>
      <c r="H74" s="22">
        <f t="shared" si="40"/>
        <v>-101798.77331136388</v>
      </c>
      <c r="I74" s="22">
        <f t="shared" si="40"/>
        <v>-47240.527217613882</v>
      </c>
      <c r="J74" s="22">
        <f t="shared" si="40"/>
        <v>-6321.8426473013824</v>
      </c>
      <c r="K74" s="22">
        <f t="shared" si="40"/>
        <v>24367.170780432993</v>
      </c>
      <c r="L74" s="22">
        <f t="shared" si="40"/>
        <v>47383.930851233774</v>
      </c>
      <c r="M74" s="22">
        <f t="shared" si="40"/>
        <v>64646.50090433436</v>
      </c>
      <c r="N74" s="22">
        <f t="shared" si="40"/>
        <v>77593.428444159799</v>
      </c>
      <c r="O74" s="22">
        <f t="shared" si="40"/>
        <v>87303.624099028879</v>
      </c>
      <c r="P74" s="22">
        <f t="shared" si="40"/>
        <v>94586.270840180689</v>
      </c>
      <c r="Q74" s="22">
        <f t="shared" si="40"/>
        <v>100048.25589604455</v>
      </c>
      <c r="R74" s="22">
        <f t="shared" si="40"/>
        <v>104144.74468794244</v>
      </c>
      <c r="S74" s="22">
        <f t="shared" si="40"/>
        <v>107217.11128186586</v>
      </c>
      <c r="T74" s="22">
        <f t="shared" si="40"/>
        <v>109521.38622730842</v>
      </c>
      <c r="U74" s="22">
        <f t="shared" si="40"/>
        <v>111249.59243639035</v>
      </c>
      <c r="V74" s="22">
        <f t="shared" si="40"/>
        <v>112545.74709320179</v>
      </c>
      <c r="W74" s="22">
        <f t="shared" si="40"/>
        <v>113517.86308581037</v>
      </c>
      <c r="X74" s="22">
        <f t="shared" si="40"/>
        <v>113517.86308581037</v>
      </c>
      <c r="Y74" s="22">
        <f t="shared" si="40"/>
        <v>113517.86308581037</v>
      </c>
      <c r="Z74" s="26">
        <f t="shared" si="40"/>
        <v>113517.86308581037</v>
      </c>
    </row>
    <row r="75" spans="2:29" ht="16.5">
      <c r="B75" s="145" t="s">
        <v>124</v>
      </c>
      <c r="C75" s="146"/>
      <c r="D75" s="146"/>
      <c r="E75" s="146"/>
      <c r="F75" s="146"/>
      <c r="G75" s="147">
        <f t="shared" ref="G75:Z75" si="41">IF(G74&gt;=0,-G74*$C$20,0)</f>
        <v>0</v>
      </c>
      <c r="H75" s="147">
        <f t="shared" si="41"/>
        <v>0</v>
      </c>
      <c r="I75" s="147">
        <f t="shared" si="41"/>
        <v>0</v>
      </c>
      <c r="J75" s="147">
        <f t="shared" si="41"/>
        <v>0</v>
      </c>
      <c r="K75" s="147">
        <f t="shared" si="41"/>
        <v>-4873.4341560865987</v>
      </c>
      <c r="L75" s="147">
        <f t="shared" si="41"/>
        <v>-9476.7861702467544</v>
      </c>
      <c r="M75" s="147">
        <f t="shared" si="41"/>
        <v>-12929.300180866872</v>
      </c>
      <c r="N75" s="147">
        <f t="shared" si="41"/>
        <v>-15518.68568883196</v>
      </c>
      <c r="O75" s="147">
        <f t="shared" si="41"/>
        <v>-17460.724819805775</v>
      </c>
      <c r="P75" s="147">
        <f t="shared" si="41"/>
        <v>-18917.254168036139</v>
      </c>
      <c r="Q75" s="147">
        <f t="shared" si="41"/>
        <v>-20009.651179208911</v>
      </c>
      <c r="R75" s="147">
        <f t="shared" si="41"/>
        <v>-20828.948937588488</v>
      </c>
      <c r="S75" s="147">
        <f t="shared" si="41"/>
        <v>-21443.422256373175</v>
      </c>
      <c r="T75" s="147">
        <f t="shared" si="41"/>
        <v>-21904.277245461686</v>
      </c>
      <c r="U75" s="147">
        <f t="shared" si="41"/>
        <v>-22249.918487278072</v>
      </c>
      <c r="V75" s="147">
        <f t="shared" si="41"/>
        <v>-22509.149418640358</v>
      </c>
      <c r="W75" s="147">
        <f t="shared" si="41"/>
        <v>-22703.572617162077</v>
      </c>
      <c r="X75" s="147">
        <f t="shared" si="41"/>
        <v>-22703.572617162077</v>
      </c>
      <c r="Y75" s="147">
        <f t="shared" si="41"/>
        <v>-22703.572617162077</v>
      </c>
      <c r="Z75" s="148">
        <f t="shared" si="41"/>
        <v>-22703.572617162077</v>
      </c>
      <c r="AA75" s="22"/>
    </row>
    <row r="76" spans="2:29" ht="19.149999999999999" customHeight="1"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Yoshikazu KOBAYASHI (小林　良和)</dc:creator>
  <cp:keywords/>
  <dc:description/>
  <cp:lastModifiedBy>Yoshikazu KOBAYASHI (小林　良和)</cp:lastModifiedBy>
  <cp:revision/>
  <cp:lastPrinted>2022-10-03T05:33:03Z</cp:lastPrinted>
  <dcterms:created xsi:type="dcterms:W3CDTF">2006-03-01T18:40:35Z</dcterms:created>
  <dcterms:modified xsi:type="dcterms:W3CDTF">2022-10-03T05:38:15Z</dcterms:modified>
  <cp:category/>
  <cp:contentStatus/>
</cp:coreProperties>
</file>