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eej-my.sharepoint.com/personal/y_kobayashi_tky_ieej_or_jp/Documents/2022 METI Ammonia/"/>
    </mc:Choice>
  </mc:AlternateContent>
  <xr:revisionPtr revIDLastSave="4" documentId="14_{29341AB5-97E6-4CE7-95DD-7110DDFEE986}" xr6:coauthVersionLast="47" xr6:coauthVersionMax="47" xr10:uidLastSave="{2539DC8C-F8C3-4152-AC7D-B9866DC53DB7}"/>
  <bookViews>
    <workbookView xWindow="-120" yWindow="-120" windowWidth="29040" windowHeight="15840" tabRatio="719" xr2:uid="{00000000-000D-0000-FFFF-FFFF00000000}"/>
  </bookViews>
  <sheets>
    <sheet name="NH3 Cost (NG)" sheetId="32" r:id="rId1"/>
    <sheet name="IRR (NG+CCS)" sheetId="33" r:id="rId2"/>
  </sheets>
  <definedNames>
    <definedName name="_xlnm.Print_Area" localSheetId="1">'IRR (NG+CCS)'!$B$1:$Z$76</definedName>
    <definedName name="_xlnm.Print_Area" localSheetId="0">'NH3 Cost (NG)'!$A$1:$V$45</definedName>
    <definedName name="solver_adj" localSheetId="1" hidden="1">'IRR (NG+CCS)'!$C$14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0</definedName>
    <definedName name="solver_nwt" localSheetId="1" hidden="1">1</definedName>
    <definedName name="solver_opt" localSheetId="1" hidden="1">'IRR (NG+CCS)'!$C$67</definedName>
    <definedName name="solver_pre" localSheetId="1" hidden="1">0.000001</definedName>
    <definedName name="solver_rbv" localSheetId="1" hidden="1">1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3</definedName>
    <definedName name="solver_val" localSheetId="1" hidden="1">0.09</definedName>
    <definedName name="solver_ver" localSheetId="1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32" l="1"/>
  <c r="E41" i="32" l="1"/>
  <c r="E29" i="32" l="1"/>
  <c r="G5" i="33" s="1"/>
  <c r="E34" i="32"/>
  <c r="C7" i="33"/>
  <c r="C6" i="33"/>
  <c r="Q5" i="32"/>
  <c r="R5" i="32" s="1"/>
  <c r="P27" i="32" l="1"/>
  <c r="P26" i="32"/>
  <c r="H9" i="32" l="1"/>
  <c r="C24" i="32" l="1"/>
  <c r="C12" i="32"/>
  <c r="G26" i="33"/>
  <c r="F26" i="33" s="1"/>
  <c r="S5" i="32"/>
  <c r="T5" i="32" s="1"/>
  <c r="I17" i="33"/>
  <c r="I18" i="33"/>
  <c r="C14" i="32"/>
  <c r="C15" i="32" s="1"/>
  <c r="D2" i="33"/>
  <c r="H7" i="32"/>
  <c r="P30" i="32"/>
  <c r="P21" i="32"/>
  <c r="P38" i="32" s="1"/>
  <c r="H40" i="32"/>
  <c r="H42" i="32" s="1"/>
  <c r="P20" i="32"/>
  <c r="Q20" i="32" s="1"/>
  <c r="P29" i="32"/>
  <c r="P28" i="32"/>
  <c r="P25" i="32"/>
  <c r="C27" i="32" l="1"/>
  <c r="C28" i="32" s="1"/>
  <c r="C29" i="32" s="1"/>
  <c r="C13" i="32"/>
  <c r="H32" i="32"/>
  <c r="Q21" i="32"/>
  <c r="R21" i="32" s="1"/>
  <c r="I16" i="33"/>
  <c r="E26" i="33"/>
  <c r="P22" i="32"/>
  <c r="R20" i="32"/>
  <c r="S20" i="32" s="1"/>
  <c r="H35" i="32"/>
  <c r="H34" i="32"/>
  <c r="H33" i="32"/>
  <c r="C36" i="32"/>
  <c r="C5" i="33"/>
  <c r="G23" i="33"/>
  <c r="H23" i="33" s="1"/>
  <c r="C60" i="33"/>
  <c r="D60" i="33"/>
  <c r="E60" i="33"/>
  <c r="F60" i="33"/>
  <c r="H16" i="33" l="1"/>
  <c r="D26" i="33"/>
  <c r="T21" i="32"/>
  <c r="U21" i="32" s="1"/>
  <c r="S21" i="32"/>
  <c r="S22" i="32" s="1"/>
  <c r="P13" i="32"/>
  <c r="Q13" i="32" s="1"/>
  <c r="H26" i="33"/>
  <c r="I26" i="33" s="1"/>
  <c r="J26" i="33" s="1"/>
  <c r="K26" i="33" s="1"/>
  <c r="L26" i="33" s="1"/>
  <c r="M26" i="33" s="1"/>
  <c r="N26" i="33" s="1"/>
  <c r="O26" i="33" s="1"/>
  <c r="P26" i="33" s="1"/>
  <c r="Q26" i="33" s="1"/>
  <c r="R26" i="33" s="1"/>
  <c r="S26" i="33" s="1"/>
  <c r="T26" i="33" s="1"/>
  <c r="U26" i="33" s="1"/>
  <c r="V26" i="33" s="1"/>
  <c r="W26" i="33" s="1"/>
  <c r="X26" i="33" s="1"/>
  <c r="Y26" i="33" s="1"/>
  <c r="Z26" i="33" s="1"/>
  <c r="Q22" i="32"/>
  <c r="R22" i="32"/>
  <c r="T20" i="32"/>
  <c r="P11" i="32"/>
  <c r="C8" i="33"/>
  <c r="I23" i="33"/>
  <c r="C30" i="32" l="1"/>
  <c r="Q11" i="32"/>
  <c r="R11" i="32" s="1"/>
  <c r="C26" i="33"/>
  <c r="F16" i="33" s="1"/>
  <c r="G16" i="33"/>
  <c r="T22" i="32"/>
  <c r="R13" i="32"/>
  <c r="S13" i="32" s="1"/>
  <c r="P34" i="32"/>
  <c r="J23" i="33"/>
  <c r="K23" i="33" s="1"/>
  <c r="L23" i="33" s="1"/>
  <c r="M23" i="33" s="1"/>
  <c r="N23" i="33" s="1"/>
  <c r="O23" i="33" s="1"/>
  <c r="P23" i="33" s="1"/>
  <c r="Q23" i="33" s="1"/>
  <c r="R23" i="33" s="1"/>
  <c r="S23" i="33" s="1"/>
  <c r="T23" i="33" s="1"/>
  <c r="U23" i="33" s="1"/>
  <c r="V23" i="33" s="1"/>
  <c r="C31" i="32" l="1"/>
  <c r="C9" i="33" s="1"/>
  <c r="S11" i="32"/>
  <c r="T11" i="32"/>
  <c r="T13" i="32"/>
  <c r="U13" i="32" s="1"/>
  <c r="V52" i="33"/>
  <c r="W23" i="33"/>
  <c r="C32" i="32" l="1"/>
  <c r="X23" i="33"/>
  <c r="W52" i="33"/>
  <c r="Y23" i="33" l="1"/>
  <c r="X52" i="33"/>
  <c r="Z23" i="33" l="1"/>
  <c r="Y52" i="33"/>
  <c r="G12" i="33"/>
  <c r="Z52" i="33" l="1"/>
  <c r="E61" i="33" l="1"/>
  <c r="D61" i="33"/>
  <c r="C61" i="33"/>
  <c r="C17" i="32"/>
  <c r="H24" i="32"/>
  <c r="H16" i="32"/>
  <c r="L13" i="32"/>
  <c r="C7" i="32"/>
  <c r="C18" i="32" l="1"/>
  <c r="C19" i="32" s="1"/>
  <c r="H13" i="32"/>
  <c r="L15" i="32"/>
  <c r="H15" i="32" s="1"/>
  <c r="H23" i="32" s="1"/>
  <c r="L14" i="32"/>
  <c r="C5" i="32"/>
  <c r="E62" i="33"/>
  <c r="E63" i="33" s="1"/>
  <c r="D62" i="33"/>
  <c r="D63" i="33" s="1"/>
  <c r="C62" i="33"/>
  <c r="G38" i="33" l="1"/>
  <c r="H38" i="33" s="1"/>
  <c r="I38" i="33" s="1"/>
  <c r="J38" i="33" s="1"/>
  <c r="K38" i="33" s="1"/>
  <c r="L38" i="33" s="1"/>
  <c r="M38" i="33" s="1"/>
  <c r="N38" i="33" s="1"/>
  <c r="O38" i="33" s="1"/>
  <c r="P38" i="33" s="1"/>
  <c r="Q38" i="33" s="1"/>
  <c r="R38" i="33" s="1"/>
  <c r="S38" i="33" s="1"/>
  <c r="T38" i="33" s="1"/>
  <c r="U38" i="33" s="1"/>
  <c r="V38" i="33" s="1"/>
  <c r="W38" i="33" s="1"/>
  <c r="X38" i="33" s="1"/>
  <c r="Y38" i="33" s="1"/>
  <c r="Z38" i="33" s="1"/>
  <c r="H28" i="32"/>
  <c r="H17" i="32"/>
  <c r="H22" i="32"/>
  <c r="H25" i="32" s="1"/>
  <c r="P7" i="32" s="1"/>
  <c r="C63" i="33"/>
  <c r="G28" i="33"/>
  <c r="H28" i="33" s="1"/>
  <c r="I28" i="33" s="1"/>
  <c r="J28" i="33" s="1"/>
  <c r="K28" i="33" s="1"/>
  <c r="L28" i="33" s="1"/>
  <c r="M28" i="33" s="1"/>
  <c r="N28" i="33" s="1"/>
  <c r="O28" i="33" s="1"/>
  <c r="P28" i="33" s="1"/>
  <c r="Q28" i="33" s="1"/>
  <c r="R28" i="33" s="1"/>
  <c r="S28" i="33" s="1"/>
  <c r="T28" i="33" s="1"/>
  <c r="U28" i="33" s="1"/>
  <c r="V28" i="33" s="1"/>
  <c r="W28" i="33" s="1"/>
  <c r="X28" i="33" s="1"/>
  <c r="Y28" i="33" s="1"/>
  <c r="Z28" i="33" s="1"/>
  <c r="H36" i="32"/>
  <c r="C12" i="33"/>
  <c r="H29" i="32"/>
  <c r="G37" i="33" s="1"/>
  <c r="H37" i="33" s="1"/>
  <c r="I37" i="33" s="1"/>
  <c r="J37" i="33" s="1"/>
  <c r="K37" i="33" s="1"/>
  <c r="L37" i="33" s="1"/>
  <c r="M37" i="33" s="1"/>
  <c r="N37" i="33" s="1"/>
  <c r="O37" i="33" s="1"/>
  <c r="P37" i="33" s="1"/>
  <c r="Q37" i="33" s="1"/>
  <c r="R37" i="33" s="1"/>
  <c r="S37" i="33" s="1"/>
  <c r="T37" i="33" s="1"/>
  <c r="U37" i="33" s="1"/>
  <c r="V37" i="33" s="1"/>
  <c r="W37" i="33" s="1"/>
  <c r="X37" i="33" s="1"/>
  <c r="Y37" i="33" s="1"/>
  <c r="Z37" i="33" s="1"/>
  <c r="H26" i="32"/>
  <c r="Q7" i="32" l="1"/>
  <c r="R7" i="32" s="1"/>
  <c r="T15" i="32"/>
  <c r="S15" i="32"/>
  <c r="P8" i="32"/>
  <c r="Q8" i="32" s="1"/>
  <c r="H27" i="32"/>
  <c r="P9" i="32" s="1"/>
  <c r="H37" i="32"/>
  <c r="G39" i="33" s="1"/>
  <c r="P12" i="32"/>
  <c r="Q12" i="32" s="1"/>
  <c r="AB38" i="33"/>
  <c r="AC38" i="33" s="1"/>
  <c r="U11" i="32" s="1"/>
  <c r="G36" i="33"/>
  <c r="G34" i="33"/>
  <c r="H34" i="33" s="1"/>
  <c r="I34" i="33" s="1"/>
  <c r="J34" i="33" s="1"/>
  <c r="K34" i="33" s="1"/>
  <c r="L34" i="33" s="1"/>
  <c r="M34" i="33" s="1"/>
  <c r="N34" i="33" s="1"/>
  <c r="O34" i="33" s="1"/>
  <c r="P34" i="33" s="1"/>
  <c r="Q34" i="33" s="1"/>
  <c r="R34" i="33" s="1"/>
  <c r="S34" i="33" s="1"/>
  <c r="T34" i="33" s="1"/>
  <c r="U34" i="33" s="1"/>
  <c r="V34" i="33" s="1"/>
  <c r="W34" i="33" s="1"/>
  <c r="X34" i="33" s="1"/>
  <c r="Y34" i="33" s="1"/>
  <c r="Z34" i="33" s="1"/>
  <c r="G51" i="33"/>
  <c r="H57" i="33"/>
  <c r="G57" i="33"/>
  <c r="I57" i="33"/>
  <c r="H30" i="32" l="1"/>
  <c r="S7" i="32"/>
  <c r="T7" i="32"/>
  <c r="P36" i="32"/>
  <c r="P35" i="32"/>
  <c r="P10" i="32"/>
  <c r="Q9" i="32"/>
  <c r="R8" i="32"/>
  <c r="S8" i="32" s="1"/>
  <c r="H51" i="33"/>
  <c r="I51" i="33"/>
  <c r="AB28" i="33"/>
  <c r="AC28" i="33" s="1"/>
  <c r="U20" i="32" s="1"/>
  <c r="G35" i="33"/>
  <c r="F34" i="33"/>
  <c r="AB34" i="33" s="1"/>
  <c r="G53" i="33"/>
  <c r="H53" i="33"/>
  <c r="J57" i="33"/>
  <c r="J51" i="33"/>
  <c r="P37" i="32" l="1"/>
  <c r="P39" i="32" s="1"/>
  <c r="P42" i="32" s="1"/>
  <c r="R12" i="32"/>
  <c r="S12" i="32" s="1"/>
  <c r="Q10" i="32"/>
  <c r="U22" i="32"/>
  <c r="F53" i="33"/>
  <c r="AC34" i="33"/>
  <c r="U7" i="32" s="1"/>
  <c r="T8" i="32"/>
  <c r="P6" i="32"/>
  <c r="AC29" i="33"/>
  <c r="H39" i="33"/>
  <c r="I53" i="33"/>
  <c r="K51" i="33"/>
  <c r="K57" i="33"/>
  <c r="T12" i="32" l="1"/>
  <c r="R10" i="32"/>
  <c r="I39" i="33"/>
  <c r="J39" i="33" s="1"/>
  <c r="K39" i="33" s="1"/>
  <c r="L39" i="33" s="1"/>
  <c r="M39" i="33" s="1"/>
  <c r="N39" i="33" s="1"/>
  <c r="O39" i="33" s="1"/>
  <c r="P39" i="33" s="1"/>
  <c r="Q39" i="33" s="1"/>
  <c r="R39" i="33" s="1"/>
  <c r="S39" i="33" s="1"/>
  <c r="T39" i="33" s="1"/>
  <c r="U39" i="33" s="1"/>
  <c r="V39" i="33" s="1"/>
  <c r="W39" i="33" s="1"/>
  <c r="X39" i="33" s="1"/>
  <c r="Y39" i="33" s="1"/>
  <c r="Z39" i="33" s="1"/>
  <c r="R9" i="32"/>
  <c r="S9" i="32" s="1"/>
  <c r="Q6" i="32"/>
  <c r="G58" i="33"/>
  <c r="H58" i="33"/>
  <c r="J53" i="33"/>
  <c r="L51" i="33"/>
  <c r="L57" i="33"/>
  <c r="T10" i="32" l="1"/>
  <c r="U12" i="32"/>
  <c r="AB39" i="33"/>
  <c r="AC39" i="33" s="1"/>
  <c r="T9" i="32"/>
  <c r="T6" i="32" s="1"/>
  <c r="R6" i="32"/>
  <c r="I58" i="33"/>
  <c r="K53" i="33"/>
  <c r="M51" i="33"/>
  <c r="M57" i="33"/>
  <c r="S10" i="32" l="1"/>
  <c r="J58" i="33"/>
  <c r="L53" i="33"/>
  <c r="N57" i="33"/>
  <c r="N51" i="33"/>
  <c r="K58" i="33" l="1"/>
  <c r="M53" i="33"/>
  <c r="O51" i="33"/>
  <c r="O57" i="33"/>
  <c r="L58" i="33" l="1"/>
  <c r="N53" i="33"/>
  <c r="P51" i="33"/>
  <c r="P57" i="33"/>
  <c r="M58" i="33" l="1"/>
  <c r="O53" i="33"/>
  <c r="Q57" i="33"/>
  <c r="Q51" i="33"/>
  <c r="N58" i="33" l="1"/>
  <c r="P53" i="33"/>
  <c r="R57" i="33"/>
  <c r="R51" i="33"/>
  <c r="O58" i="33" l="1"/>
  <c r="Q53" i="33"/>
  <c r="S57" i="33"/>
  <c r="S51" i="33"/>
  <c r="P58" i="33" l="1"/>
  <c r="R53" i="33"/>
  <c r="T57" i="33"/>
  <c r="T51" i="33"/>
  <c r="Q58" i="33" l="1"/>
  <c r="S53" i="33"/>
  <c r="U51" i="33"/>
  <c r="U57" i="33"/>
  <c r="R58" i="33" l="1"/>
  <c r="T53" i="33"/>
  <c r="V57" i="33"/>
  <c r="V51" i="33"/>
  <c r="S58" i="33" l="1"/>
  <c r="U53" i="33"/>
  <c r="W51" i="33"/>
  <c r="W57" i="33"/>
  <c r="T58" i="33" l="1"/>
  <c r="V53" i="33"/>
  <c r="X57" i="33"/>
  <c r="X51" i="33"/>
  <c r="U58" i="33" l="1"/>
  <c r="W53" i="33"/>
  <c r="Y51" i="33"/>
  <c r="Y57" i="33"/>
  <c r="Z57" i="33"/>
  <c r="V58" i="33" l="1"/>
  <c r="X53" i="33"/>
  <c r="Z51" i="33"/>
  <c r="W58" i="33" l="1"/>
  <c r="Y53" i="33"/>
  <c r="X58" i="33" l="1"/>
  <c r="Z53" i="33"/>
  <c r="Z58" i="33" l="1"/>
  <c r="Y58" i="33"/>
  <c r="H38" i="32" l="1"/>
  <c r="H35" i="33" l="1"/>
  <c r="I35" i="33" s="1"/>
  <c r="J35" i="33" s="1"/>
  <c r="K35" i="33" s="1"/>
  <c r="L35" i="33" s="1"/>
  <c r="M35" i="33" s="1"/>
  <c r="N35" i="33" s="1"/>
  <c r="O35" i="33" s="1"/>
  <c r="P35" i="33" s="1"/>
  <c r="Q35" i="33" s="1"/>
  <c r="R35" i="33" s="1"/>
  <c r="S35" i="33" s="1"/>
  <c r="T35" i="33" s="1"/>
  <c r="U35" i="33" s="1"/>
  <c r="V35" i="33" s="1"/>
  <c r="W35" i="33" s="1"/>
  <c r="X35" i="33" s="1"/>
  <c r="Y35" i="33" s="1"/>
  <c r="Z35" i="33" s="1"/>
  <c r="H36" i="33"/>
  <c r="I36" i="33" l="1"/>
  <c r="J36" i="33" s="1"/>
  <c r="K36" i="33" s="1"/>
  <c r="L36" i="33" s="1"/>
  <c r="M36" i="33" s="1"/>
  <c r="N36" i="33" s="1"/>
  <c r="O36" i="33" s="1"/>
  <c r="P36" i="33" s="1"/>
  <c r="Q36" i="33" s="1"/>
  <c r="R36" i="33" s="1"/>
  <c r="S36" i="33" s="1"/>
  <c r="T36" i="33" s="1"/>
  <c r="U36" i="33" s="1"/>
  <c r="V36" i="33" s="1"/>
  <c r="W36" i="33" s="1"/>
  <c r="X36" i="33" s="1"/>
  <c r="Y36" i="33" s="1"/>
  <c r="Z36" i="33" s="1"/>
  <c r="F35" i="33"/>
  <c r="AB35" i="33" s="1"/>
  <c r="AC35" i="33" s="1"/>
  <c r="G54" i="33"/>
  <c r="G56" i="33"/>
  <c r="G55" i="33"/>
  <c r="AB37" i="33" l="1"/>
  <c r="AC37" i="33" s="1"/>
  <c r="AB36" i="33"/>
  <c r="AC36" i="33" s="1"/>
  <c r="U8" i="32" s="1"/>
  <c r="H54" i="33"/>
  <c r="F54" i="33"/>
  <c r="F61" i="33" s="1"/>
  <c r="H56" i="33"/>
  <c r="H55" i="33"/>
  <c r="U9" i="32" l="1"/>
  <c r="U6" i="32" s="1"/>
  <c r="U10" i="32"/>
  <c r="S6" i="32"/>
  <c r="F62" i="33"/>
  <c r="I54" i="33"/>
  <c r="I56" i="33"/>
  <c r="I55" i="33"/>
  <c r="F63" i="33" l="1"/>
  <c r="J54" i="33"/>
  <c r="J55" i="33"/>
  <c r="J56" i="33"/>
  <c r="K54" i="33" l="1"/>
  <c r="K56" i="33"/>
  <c r="K55" i="33"/>
  <c r="L54" i="33" l="1"/>
  <c r="L56" i="33"/>
  <c r="L55" i="33"/>
  <c r="M54" i="33" l="1"/>
  <c r="M55" i="33"/>
  <c r="M56" i="33"/>
  <c r="N54" i="33" l="1"/>
  <c r="N56" i="33"/>
  <c r="N55" i="33"/>
  <c r="W41" i="33" l="1"/>
  <c r="O54" i="33"/>
  <c r="O55" i="33"/>
  <c r="O56" i="33"/>
  <c r="X41" i="33" l="1"/>
  <c r="W65" i="33"/>
  <c r="P54" i="33"/>
  <c r="P56" i="33"/>
  <c r="P55" i="33"/>
  <c r="Y41" i="33" l="1"/>
  <c r="X65" i="33"/>
  <c r="Q54" i="33"/>
  <c r="Q55" i="33"/>
  <c r="Q56" i="33"/>
  <c r="Z41" i="33" l="1"/>
  <c r="Z65" i="33" s="1"/>
  <c r="Y65" i="33"/>
  <c r="R54" i="33"/>
  <c r="R56" i="33"/>
  <c r="R55" i="33"/>
  <c r="S54" i="33" l="1"/>
  <c r="S55" i="33"/>
  <c r="S56" i="33"/>
  <c r="T54" i="33" l="1"/>
  <c r="T56" i="33"/>
  <c r="T55" i="33"/>
  <c r="U54" i="33" l="1"/>
  <c r="U55" i="33"/>
  <c r="U56" i="33"/>
  <c r="V54" i="33" l="1"/>
  <c r="V56" i="33"/>
  <c r="V55" i="33"/>
  <c r="W54" i="33" l="1"/>
  <c r="W56" i="33"/>
  <c r="W55" i="33"/>
  <c r="X54" i="33" l="1"/>
  <c r="X55" i="33"/>
  <c r="X56" i="33"/>
  <c r="Y54" i="33" l="1"/>
  <c r="Z54" i="33"/>
  <c r="Y55" i="33"/>
  <c r="Y56" i="33"/>
  <c r="Z56" i="33"/>
  <c r="Z55" i="33" l="1"/>
  <c r="V41" i="33"/>
  <c r="V65" i="33" s="1"/>
  <c r="G7" i="33"/>
  <c r="C33" i="32"/>
  <c r="C4" i="33" s="1"/>
  <c r="C31" i="33" s="1"/>
  <c r="C10" i="33" l="1"/>
  <c r="G52" i="33" s="1"/>
  <c r="D31" i="33"/>
  <c r="E31" i="33"/>
  <c r="F31" i="33" l="1"/>
  <c r="H52" i="33"/>
  <c r="P15" i="32"/>
  <c r="C34" i="32"/>
  <c r="C35" i="32" s="1"/>
  <c r="C32" i="33"/>
  <c r="E32" i="33"/>
  <c r="E30" i="33" s="1"/>
  <c r="D32" i="33"/>
  <c r="D30" i="33"/>
  <c r="G72" i="33"/>
  <c r="E68" i="33" l="1"/>
  <c r="E29" i="33"/>
  <c r="E44" i="33" s="1"/>
  <c r="E24" i="33" s="1"/>
  <c r="C30" i="33"/>
  <c r="C46" i="33"/>
  <c r="D46" i="33" s="1"/>
  <c r="E46" i="33" s="1"/>
  <c r="I52" i="33"/>
  <c r="D29" i="33"/>
  <c r="D44" i="33" s="1"/>
  <c r="D24" i="33" s="1"/>
  <c r="D68" i="33"/>
  <c r="G74" i="33"/>
  <c r="G75" i="33" s="1"/>
  <c r="G43" i="33" s="1"/>
  <c r="G73" i="33"/>
  <c r="F32" i="33"/>
  <c r="F30" i="33" s="1"/>
  <c r="F46" i="33" l="1"/>
  <c r="G46" i="33" s="1"/>
  <c r="H46" i="33" s="1"/>
  <c r="I46" i="33" s="1"/>
  <c r="C68" i="33"/>
  <c r="C49" i="33"/>
  <c r="D49" i="33" s="1"/>
  <c r="E49" i="33" s="1"/>
  <c r="F49" i="33" s="1"/>
  <c r="C29" i="33"/>
  <c r="H72" i="33"/>
  <c r="H74" i="33" s="1"/>
  <c r="H75" i="33" s="1"/>
  <c r="H43" i="33" s="1"/>
  <c r="J52" i="33"/>
  <c r="F29" i="33"/>
  <c r="F44" i="33" s="1"/>
  <c r="F24" i="33" s="1"/>
  <c r="F68" i="33"/>
  <c r="H73" i="33" l="1"/>
  <c r="I72" i="33" s="1"/>
  <c r="I74" i="33" s="1"/>
  <c r="I75" i="33" s="1"/>
  <c r="I43" i="33" s="1"/>
  <c r="C44" i="33"/>
  <c r="C48" i="33"/>
  <c r="D48" i="33" s="1"/>
  <c r="E48" i="33" s="1"/>
  <c r="F48" i="33" s="1"/>
  <c r="K52" i="33"/>
  <c r="J46" i="33"/>
  <c r="K46" i="33" l="1"/>
  <c r="G41" i="33"/>
  <c r="G42" i="33"/>
  <c r="G48" i="33"/>
  <c r="L52" i="33"/>
  <c r="I73" i="33"/>
  <c r="C47" i="33"/>
  <c r="D47" i="33" s="1"/>
  <c r="E47" i="33" s="1"/>
  <c r="F47" i="33" s="1"/>
  <c r="C24" i="33"/>
  <c r="H42" i="33" l="1"/>
  <c r="H60" i="33" s="1"/>
  <c r="H61" i="33" s="1"/>
  <c r="H48" i="33"/>
  <c r="P16" i="32"/>
  <c r="P14" i="32" s="1"/>
  <c r="G60" i="33"/>
  <c r="G61" i="33" s="1"/>
  <c r="M52" i="33"/>
  <c r="H41" i="33"/>
  <c r="G44" i="33"/>
  <c r="G47" i="33" s="1"/>
  <c r="J72" i="33"/>
  <c r="J74" i="33" s="1"/>
  <c r="J75" i="33" s="1"/>
  <c r="J43" i="33" s="1"/>
  <c r="L46" i="33"/>
  <c r="J73" i="33" l="1"/>
  <c r="K72" i="33" s="1"/>
  <c r="K74" i="33" s="1"/>
  <c r="K75" i="33" s="1"/>
  <c r="K43" i="33" s="1"/>
  <c r="M46" i="33"/>
  <c r="G62" i="33"/>
  <c r="G63" i="33" s="1"/>
  <c r="G64" i="33"/>
  <c r="G24" i="33"/>
  <c r="N52" i="33"/>
  <c r="I42" i="33"/>
  <c r="I48" i="33"/>
  <c r="I41" i="33"/>
  <c r="H44" i="33"/>
  <c r="H24" i="33" s="1"/>
  <c r="H65" i="33" s="1"/>
  <c r="H66" i="33" s="1"/>
  <c r="H68" i="33" s="1"/>
  <c r="H62" i="33"/>
  <c r="H63" i="33" s="1"/>
  <c r="H64" i="33"/>
  <c r="K73" i="33" l="1"/>
  <c r="H47" i="33"/>
  <c r="I44" i="33"/>
  <c r="J41" i="33"/>
  <c r="L72" i="33"/>
  <c r="L74" i="33" s="1"/>
  <c r="L75" i="33" s="1"/>
  <c r="L43" i="33" s="1"/>
  <c r="G65" i="33"/>
  <c r="G66" i="33" s="1"/>
  <c r="G68" i="33" s="1"/>
  <c r="P18" i="32"/>
  <c r="P19" i="32" s="1"/>
  <c r="G49" i="33"/>
  <c r="H49" i="33" s="1"/>
  <c r="I60" i="33"/>
  <c r="I61" i="33" s="1"/>
  <c r="J42" i="33"/>
  <c r="J60" i="33" s="1"/>
  <c r="J61" i="33" s="1"/>
  <c r="J48" i="33"/>
  <c r="O52" i="33"/>
  <c r="Q15" i="32"/>
  <c r="N46" i="33"/>
  <c r="P17" i="32"/>
  <c r="O46" i="33" l="1"/>
  <c r="K42" i="33"/>
  <c r="K60" i="33" s="1"/>
  <c r="K61" i="33" s="1"/>
  <c r="K48" i="33"/>
  <c r="J44" i="33"/>
  <c r="J24" i="33" s="1"/>
  <c r="J65" i="33" s="1"/>
  <c r="J66" i="33" s="1"/>
  <c r="J68" i="33" s="1"/>
  <c r="K41" i="33"/>
  <c r="L73" i="33"/>
  <c r="I24" i="33"/>
  <c r="J62" i="33"/>
  <c r="J63" i="33" s="1"/>
  <c r="J64" i="33"/>
  <c r="P52" i="33"/>
  <c r="I64" i="33"/>
  <c r="I62" i="33"/>
  <c r="I63" i="33" s="1"/>
  <c r="I49" i="33" s="1"/>
  <c r="I47" i="33"/>
  <c r="J49" i="33" l="1"/>
  <c r="J47" i="33"/>
  <c r="L41" i="33"/>
  <c r="K44" i="33"/>
  <c r="L42" i="33"/>
  <c r="L48" i="33"/>
  <c r="M72" i="33"/>
  <c r="M74" i="33" s="1"/>
  <c r="M75" i="33" s="1"/>
  <c r="M43" i="33" s="1"/>
  <c r="K64" i="33"/>
  <c r="K62" i="33"/>
  <c r="K63" i="33" s="1"/>
  <c r="Q52" i="33"/>
  <c r="I65" i="33"/>
  <c r="I66" i="33" s="1"/>
  <c r="I68" i="33" s="1"/>
  <c r="P46" i="33"/>
  <c r="K49" i="33" l="1"/>
  <c r="K47" i="33"/>
  <c r="R52" i="33"/>
  <c r="K24" i="33"/>
  <c r="Q46" i="33"/>
  <c r="M42" i="33"/>
  <c r="M60" i="33" s="1"/>
  <c r="M61" i="33" s="1"/>
  <c r="M48" i="33"/>
  <c r="M41" i="33"/>
  <c r="L44" i="33"/>
  <c r="L24" i="33" s="1"/>
  <c r="L65" i="33" s="1"/>
  <c r="L66" i="33" s="1"/>
  <c r="L68" i="33" s="1"/>
  <c r="M73" i="33"/>
  <c r="L60" i="33"/>
  <c r="L61" i="33" s="1"/>
  <c r="R46" i="33" l="1"/>
  <c r="N72" i="33"/>
  <c r="N74" i="33" s="1"/>
  <c r="N75" i="33" s="1"/>
  <c r="N43" i="33" s="1"/>
  <c r="K65" i="33"/>
  <c r="K66" i="33" s="1"/>
  <c r="K68" i="33" s="1"/>
  <c r="L47" i="33"/>
  <c r="N42" i="33"/>
  <c r="N48" i="33"/>
  <c r="M64" i="33"/>
  <c r="M62" i="33"/>
  <c r="M63" i="33" s="1"/>
  <c r="L62" i="33"/>
  <c r="L63" i="33" s="1"/>
  <c r="L64" i="33"/>
  <c r="M44" i="33"/>
  <c r="M24" i="33" s="1"/>
  <c r="M65" i="33" s="1"/>
  <c r="M66" i="33" s="1"/>
  <c r="M68" i="33" s="1"/>
  <c r="N41" i="33"/>
  <c r="S52" i="33"/>
  <c r="M47" i="33" l="1"/>
  <c r="O42" i="33"/>
  <c r="O60" i="33" s="1"/>
  <c r="O61" i="33" s="1"/>
  <c r="O48" i="33"/>
  <c r="N60" i="33"/>
  <c r="N61" i="33" s="1"/>
  <c r="Q16" i="32"/>
  <c r="Q14" i="32" s="1"/>
  <c r="L49" i="33"/>
  <c r="M49" i="33" s="1"/>
  <c r="R15" i="32"/>
  <c r="T52" i="33"/>
  <c r="S46" i="33"/>
  <c r="N44" i="33"/>
  <c r="N24" i="33" s="1"/>
  <c r="N65" i="33" s="1"/>
  <c r="N66" i="33" s="1"/>
  <c r="N68" i="33" s="1"/>
  <c r="O41" i="33"/>
  <c r="N73" i="33"/>
  <c r="T46" i="33" l="1"/>
  <c r="N47" i="33"/>
  <c r="N62" i="33"/>
  <c r="Q17" i="32" s="1"/>
  <c r="N64" i="33"/>
  <c r="P41" i="33"/>
  <c r="P42" i="33"/>
  <c r="P60" i="33" s="1"/>
  <c r="P61" i="33" s="1"/>
  <c r="P48" i="33"/>
  <c r="O64" i="33"/>
  <c r="O62" i="33"/>
  <c r="O63" i="33" s="1"/>
  <c r="O72" i="33"/>
  <c r="O74" i="33" s="1"/>
  <c r="O75" i="33" s="1"/>
  <c r="O43" i="33" s="1"/>
  <c r="O44" i="33" s="1"/>
  <c r="U52" i="33"/>
  <c r="O73" i="33" l="1"/>
  <c r="P72" i="33" s="1"/>
  <c r="N63" i="33"/>
  <c r="Q18" i="32" s="1"/>
  <c r="Q19" i="32" s="1"/>
  <c r="O24" i="33"/>
  <c r="O65" i="33" s="1"/>
  <c r="O66" i="33" s="1"/>
  <c r="O68" i="33" s="1"/>
  <c r="O47" i="33"/>
  <c r="AB52" i="33"/>
  <c r="AC52" i="33" s="1"/>
  <c r="U15" i="32" s="1"/>
  <c r="Q42" i="33"/>
  <c r="Q60" i="33" s="1"/>
  <c r="Q61" i="33" s="1"/>
  <c r="Q48" i="33"/>
  <c r="P62" i="33"/>
  <c r="P63" i="33" s="1"/>
  <c r="P64" i="33"/>
  <c r="U46" i="33"/>
  <c r="V46" i="33" s="1"/>
  <c r="W46" i="33" s="1"/>
  <c r="X46" i="33" s="1"/>
  <c r="Y46" i="33" s="1"/>
  <c r="Z46" i="33" s="1"/>
  <c r="Q41" i="33"/>
  <c r="N49" i="33" l="1"/>
  <c r="O49" i="33" s="1"/>
  <c r="P49" i="33" s="1"/>
  <c r="P74" i="33"/>
  <c r="P75" i="33" s="1"/>
  <c r="P43" i="33" s="1"/>
  <c r="P44" i="33" s="1"/>
  <c r="P24" i="33" s="1"/>
  <c r="P65" i="33" s="1"/>
  <c r="P66" i="33" s="1"/>
  <c r="P68" i="33" s="1"/>
  <c r="P73" i="33"/>
  <c r="Q72" i="33" s="1"/>
  <c r="Q74" i="33" s="1"/>
  <c r="Q75" i="33" s="1"/>
  <c r="Q43" i="33" s="1"/>
  <c r="Q44" i="33" s="1"/>
  <c r="Q24" i="33" s="1"/>
  <c r="Q65" i="33" s="1"/>
  <c r="Q66" i="33" s="1"/>
  <c r="Q68" i="33" s="1"/>
  <c r="R42" i="33"/>
  <c r="R60" i="33" s="1"/>
  <c r="R61" i="33" s="1"/>
  <c r="R48" i="33"/>
  <c r="R41" i="33"/>
  <c r="Q62" i="33"/>
  <c r="Q63" i="33" s="1"/>
  <c r="Q64" i="33"/>
  <c r="P47" i="33" l="1"/>
  <c r="Q47" i="33" s="1"/>
  <c r="Q73" i="33"/>
  <c r="R72" i="33" s="1"/>
  <c r="R74" i="33" s="1"/>
  <c r="R75" i="33" s="1"/>
  <c r="R43" i="33" s="1"/>
  <c r="R44" i="33" s="1"/>
  <c r="R24" i="33" s="1"/>
  <c r="R65" i="33" s="1"/>
  <c r="R66" i="33" s="1"/>
  <c r="R68" i="33" s="1"/>
  <c r="Q49" i="33"/>
  <c r="S42" i="33"/>
  <c r="S48" i="33"/>
  <c r="S41" i="33"/>
  <c r="R64" i="33"/>
  <c r="R62" i="33"/>
  <c r="R63" i="33" s="1"/>
  <c r="S60" i="33" l="1"/>
  <c r="S61" i="33" s="1"/>
  <c r="R16" i="32"/>
  <c r="R14" i="32" s="1"/>
  <c r="R49" i="33"/>
  <c r="R47" i="33"/>
  <c r="T41" i="33"/>
  <c r="T42" i="33"/>
  <c r="T60" i="33" s="1"/>
  <c r="T61" i="33" s="1"/>
  <c r="T48" i="33"/>
  <c r="R73" i="33"/>
  <c r="T62" i="33" l="1"/>
  <c r="T63" i="33" s="1"/>
  <c r="T64" i="33"/>
  <c r="S72" i="33"/>
  <c r="S74" i="33" s="1"/>
  <c r="S75" i="33" s="1"/>
  <c r="S43" i="33" s="1"/>
  <c r="S44" i="33" s="1"/>
  <c r="S24" i="33" s="1"/>
  <c r="S65" i="33" s="1"/>
  <c r="S66" i="33" s="1"/>
  <c r="S68" i="33" s="1"/>
  <c r="U41" i="33"/>
  <c r="U42" i="33"/>
  <c r="U60" i="33" s="1"/>
  <c r="U61" i="33" s="1"/>
  <c r="U48" i="33"/>
  <c r="S62" i="33"/>
  <c r="R17" i="32" s="1"/>
  <c r="S64" i="33"/>
  <c r="S63" i="33" l="1"/>
  <c r="R18" i="32" s="1"/>
  <c r="R19" i="32" s="1"/>
  <c r="S73" i="33"/>
  <c r="T72" i="33" s="1"/>
  <c r="T74" i="33" s="1"/>
  <c r="T75" i="33" s="1"/>
  <c r="T43" i="33" s="1"/>
  <c r="T44" i="33" s="1"/>
  <c r="T24" i="33" s="1"/>
  <c r="T65" i="33" s="1"/>
  <c r="T66" i="33" s="1"/>
  <c r="T68" i="33" s="1"/>
  <c r="AB41" i="33"/>
  <c r="U62" i="33"/>
  <c r="U63" i="33" s="1"/>
  <c r="U64" i="33"/>
  <c r="V48" i="33"/>
  <c r="V42" i="33"/>
  <c r="S47" i="33"/>
  <c r="S49" i="33" l="1"/>
  <c r="T49" i="33" s="1"/>
  <c r="U49" i="33" s="1"/>
  <c r="AC41" i="33"/>
  <c r="T47" i="33"/>
  <c r="T73" i="33"/>
  <c r="V60" i="33"/>
  <c r="V61" i="33" s="1"/>
  <c r="W42" i="33"/>
  <c r="W48" i="33"/>
  <c r="X48" i="33" l="1"/>
  <c r="X42" i="33"/>
  <c r="V64" i="33"/>
  <c r="V62" i="33"/>
  <c r="V63" i="33" s="1"/>
  <c r="V49" i="33" s="1"/>
  <c r="U72" i="33"/>
  <c r="U74" i="33" s="1"/>
  <c r="U75" i="33" s="1"/>
  <c r="U43" i="33" s="1"/>
  <c r="U44" i="33" s="1"/>
  <c r="U24" i="33" s="1"/>
  <c r="U65" i="33" s="1"/>
  <c r="U66" i="33" s="1"/>
  <c r="U68" i="33" s="1"/>
  <c r="W60" i="33"/>
  <c r="W61" i="33" s="1"/>
  <c r="U73" i="33" l="1"/>
  <c r="S16" i="32"/>
  <c r="S14" i="32" s="1"/>
  <c r="X60" i="33"/>
  <c r="X61" i="33" s="1"/>
  <c r="U47" i="33"/>
  <c r="W62" i="33"/>
  <c r="W63" i="33" s="1"/>
  <c r="W49" i="33" s="1"/>
  <c r="W64" i="33"/>
  <c r="Y48" i="33"/>
  <c r="Y42" i="33"/>
  <c r="Y60" i="33" l="1"/>
  <c r="Y61" i="33" s="1"/>
  <c r="Z48" i="33"/>
  <c r="Z42" i="33"/>
  <c r="V72" i="33"/>
  <c r="V74" i="33" s="1"/>
  <c r="V75" i="33" s="1"/>
  <c r="V43" i="33" s="1"/>
  <c r="V44" i="33" s="1"/>
  <c r="V47" i="33" s="1"/>
  <c r="X62" i="33"/>
  <c r="S17" i="32" s="1"/>
  <c r="X64" i="33"/>
  <c r="V73" i="33" l="1"/>
  <c r="W72" i="33" s="1"/>
  <c r="W74" i="33" s="1"/>
  <c r="W75" i="33" s="1"/>
  <c r="W43" i="33" s="1"/>
  <c r="W44" i="33" s="1"/>
  <c r="Y64" i="33"/>
  <c r="Y62" i="33"/>
  <c r="Y63" i="33" s="1"/>
  <c r="V24" i="33"/>
  <c r="V66" i="33"/>
  <c r="V68" i="33" s="1"/>
  <c r="X63" i="33"/>
  <c r="T16" i="32"/>
  <c r="T14" i="32" s="1"/>
  <c r="Z60" i="33"/>
  <c r="Z61" i="33" s="1"/>
  <c r="AB42" i="33"/>
  <c r="W24" i="33" l="1"/>
  <c r="W66" i="33"/>
  <c r="W68" i="33" s="1"/>
  <c r="Z64" i="33"/>
  <c r="Z62" i="33"/>
  <c r="Z63" i="33" s="1"/>
  <c r="W47" i="33"/>
  <c r="AC42" i="33"/>
  <c r="U16" i="32" s="1"/>
  <c r="U14" i="32" s="1"/>
  <c r="AB40" i="33"/>
  <c r="AC40" i="33" s="1"/>
  <c r="S18" i="32"/>
  <c r="S19" i="32" s="1"/>
  <c r="X49" i="33"/>
  <c r="Y49" i="33" s="1"/>
  <c r="W73" i="33"/>
  <c r="T18" i="32" l="1"/>
  <c r="T19" i="32" s="1"/>
  <c r="AB63" i="33"/>
  <c r="AC63" i="33" s="1"/>
  <c r="U18" i="32" s="1"/>
  <c r="U19" i="32" s="1"/>
  <c r="X72" i="33"/>
  <c r="X74" i="33" s="1"/>
  <c r="X75" i="33" s="1"/>
  <c r="X43" i="33" s="1"/>
  <c r="X44" i="33" s="1"/>
  <c r="Z72" i="33"/>
  <c r="Z74" i="33" s="1"/>
  <c r="Z75" i="33" s="1"/>
  <c r="Z43" i="33" s="1"/>
  <c r="Y72" i="33"/>
  <c r="Y74" i="33" s="1"/>
  <c r="Y75" i="33" s="1"/>
  <c r="Y43" i="33" s="1"/>
  <c r="Y44" i="33" s="1"/>
  <c r="Z49" i="33"/>
  <c r="T17" i="32"/>
  <c r="AB62" i="33"/>
  <c r="AC62" i="33" s="1"/>
  <c r="U17" i="32" s="1"/>
  <c r="X24" i="33" l="1"/>
  <c r="X66" i="33"/>
  <c r="X68" i="33" s="1"/>
  <c r="X47" i="33"/>
  <c r="Y47" i="33" s="1"/>
  <c r="X73" i="33"/>
  <c r="Y73" i="33" s="1"/>
  <c r="Z73" i="33" s="1"/>
  <c r="Y24" i="33"/>
  <c r="Y66" i="33"/>
  <c r="Y68" i="33" s="1"/>
  <c r="AB43" i="33"/>
  <c r="AC43" i="33" s="1"/>
  <c r="Z44" i="33"/>
  <c r="Z47" i="33" l="1"/>
  <c r="Z24" i="33"/>
  <c r="AA24" i="33" s="1"/>
  <c r="C21" i="33" s="1"/>
  <c r="Z66" i="33"/>
  <c r="Z68" i="33" s="1"/>
  <c r="AB44" i="33"/>
  <c r="AC44" i="33" s="1"/>
  <c r="AB68" i="33" l="1"/>
  <c r="AC68" i="33" s="1"/>
  <c r="C67" i="33"/>
  <c r="G14" i="33" s="1"/>
  <c r="L19" i="32" l="1"/>
  <c r="U3" i="3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MC010082</author>
  </authors>
  <commentList>
    <comment ref="F34" authorId="0" shapeId="0" xr:uid="{5D4592A2-1F21-7043-B7C8-B1ACBA79C8A8}">
      <text>
        <r>
          <rPr>
            <b/>
            <sz val="9"/>
            <color indexed="81"/>
            <rFont val="ＭＳ Ｐゴシック"/>
            <family val="3"/>
            <charset val="128"/>
          </rPr>
          <t>MC010082:</t>
        </r>
        <r>
          <rPr>
            <sz val="9"/>
            <color indexed="81"/>
            <rFont val="ＭＳ Ｐゴシック"/>
            <family val="3"/>
            <charset val="128"/>
          </rPr>
          <t xml:space="preserve">
50% of annum</t>
        </r>
      </text>
    </comment>
    <comment ref="F35" authorId="0" shapeId="0" xr:uid="{54F24B8E-C7C5-E544-ACC0-00897548F4D3}">
      <text>
        <r>
          <rPr>
            <b/>
            <sz val="9"/>
            <color indexed="81"/>
            <rFont val="ＭＳ Ｐゴシック"/>
            <family val="3"/>
            <charset val="128"/>
          </rPr>
          <t>MC010082:</t>
        </r>
        <r>
          <rPr>
            <sz val="9"/>
            <color indexed="81"/>
            <rFont val="ＭＳ Ｐゴシック"/>
            <family val="3"/>
            <charset val="128"/>
          </rPr>
          <t xml:space="preserve">
50% of annum</t>
        </r>
      </text>
    </comment>
  </commentList>
</comments>
</file>

<file path=xl/sharedStrings.xml><?xml version="1.0" encoding="utf-8"?>
<sst xmlns="http://schemas.openxmlformats.org/spreadsheetml/2006/main" count="368" uniqueCount="299">
  <si>
    <t>EIRR＝</t>
    <phoneticPr fontId="195"/>
  </si>
  <si>
    <t>t-NH3/y</t>
    <phoneticPr fontId="195"/>
  </si>
  <si>
    <t>Utility &amp; Others</t>
    <phoneticPr fontId="195"/>
  </si>
  <si>
    <t>t-NH3/ｄ</t>
    <phoneticPr fontId="195"/>
  </si>
  <si>
    <t>1)</t>
    <phoneticPr fontId="195"/>
  </si>
  <si>
    <t>MW/h</t>
  </si>
  <si>
    <t>d/y</t>
    <phoneticPr fontId="195"/>
  </si>
  <si>
    <t>kWh/t-NH3</t>
    <phoneticPr fontId="195"/>
  </si>
  <si>
    <t>％</t>
    <phoneticPr fontId="195"/>
  </si>
  <si>
    <t>2)</t>
    <phoneticPr fontId="195"/>
  </si>
  <si>
    <t>1,000WT-t/d</t>
    <phoneticPr fontId="4"/>
  </si>
  <si>
    <t>WT-t/t-NH3</t>
    <phoneticPr fontId="4"/>
  </si>
  <si>
    <t>NG</t>
    <phoneticPr fontId="195"/>
  </si>
  <si>
    <t>3)</t>
    <phoneticPr fontId="195"/>
  </si>
  <si>
    <t>U$/t-NH3</t>
    <phoneticPr fontId="4"/>
  </si>
  <si>
    <t>Gcal /t-NH3</t>
    <phoneticPr fontId="4"/>
  </si>
  <si>
    <t>HHV</t>
    <phoneticPr fontId="195"/>
  </si>
  <si>
    <t>4)</t>
    <phoneticPr fontId="195"/>
  </si>
  <si>
    <t>t-NG /t-NH3</t>
    <phoneticPr fontId="4"/>
  </si>
  <si>
    <t xml:space="preserve"> Field Manager 1)</t>
    <phoneticPr fontId="4"/>
  </si>
  <si>
    <t>t-NG/d</t>
    <phoneticPr fontId="4"/>
  </si>
  <si>
    <t xml:space="preserve">  Shift Leader(MＧ)2)</t>
    <phoneticPr fontId="4"/>
  </si>
  <si>
    <t>$/MMBTU</t>
    <phoneticPr fontId="4"/>
  </si>
  <si>
    <t xml:space="preserve">  Field Operator3)</t>
    <phoneticPr fontId="4"/>
  </si>
  <si>
    <t>$/NG-t</t>
    <phoneticPr fontId="195"/>
  </si>
  <si>
    <t xml:space="preserve">  Panel Operator4)</t>
    <phoneticPr fontId="4"/>
  </si>
  <si>
    <t xml:space="preserve">  Labo Technician5)</t>
    <phoneticPr fontId="4"/>
  </si>
  <si>
    <t>t-CO2/t-NH3</t>
    <phoneticPr fontId="4"/>
  </si>
  <si>
    <t>t-CO2/d</t>
    <phoneticPr fontId="4"/>
  </si>
  <si>
    <t>t-CO2/y</t>
    <phoneticPr fontId="4"/>
  </si>
  <si>
    <t>EIRR =</t>
    <phoneticPr fontId="195"/>
  </si>
  <si>
    <t>1,000US＄</t>
    <phoneticPr fontId="195"/>
  </si>
  <si>
    <t>　CAPEX</t>
    <phoneticPr fontId="195"/>
  </si>
  <si>
    <t>　Managers  1)+2)</t>
    <phoneticPr fontId="4"/>
  </si>
  <si>
    <t>　ISBL</t>
    <phoneticPr fontId="195"/>
  </si>
  <si>
    <t>　Panel Operators 4)+5)</t>
    <phoneticPr fontId="4"/>
  </si>
  <si>
    <t xml:space="preserve">　OSBL* </t>
    <phoneticPr fontId="195"/>
  </si>
  <si>
    <t>*ISBLx50%</t>
    <phoneticPr fontId="195"/>
  </si>
  <si>
    <t>　Field Operators 3)</t>
    <phoneticPr fontId="4"/>
  </si>
  <si>
    <t>a</t>
    <phoneticPr fontId="195"/>
  </si>
  <si>
    <t>US$/T-NH3</t>
    <phoneticPr fontId="4"/>
  </si>
  <si>
    <t>-</t>
    <phoneticPr fontId="195"/>
  </si>
  <si>
    <t>b</t>
    <phoneticPr fontId="195"/>
  </si>
  <si>
    <t>CAPEX x</t>
    <phoneticPr fontId="4"/>
  </si>
  <si>
    <t>*+a+b</t>
    <phoneticPr fontId="195"/>
  </si>
  <si>
    <t>①x80％＋②x20％</t>
    <phoneticPr fontId="195"/>
  </si>
  <si>
    <t>　　ISBL+OSBL</t>
    <phoneticPr fontId="195"/>
  </si>
  <si>
    <t>c</t>
    <phoneticPr fontId="195"/>
  </si>
  <si>
    <t>OSBL* x</t>
    <phoneticPr fontId="4"/>
  </si>
  <si>
    <t>d</t>
    <phoneticPr fontId="195"/>
  </si>
  <si>
    <t>US$/kWh</t>
    <phoneticPr fontId="4"/>
  </si>
  <si>
    <t>Owner's Cost</t>
    <phoneticPr fontId="4"/>
  </si>
  <si>
    <t>US$/WT-t</t>
    <phoneticPr fontId="4"/>
  </si>
  <si>
    <t>US$/t-CO2</t>
    <phoneticPr fontId="195"/>
  </si>
  <si>
    <t>Cash Cost (1+2)</t>
    <phoneticPr fontId="195"/>
  </si>
  <si>
    <t xml:space="preserve">MJ/kg </t>
    <phoneticPr fontId="195"/>
  </si>
  <si>
    <t>kg/kmol</t>
    <phoneticPr fontId="195"/>
  </si>
  <si>
    <t>kg-CO2/NG-kg</t>
    <phoneticPr fontId="195"/>
  </si>
  <si>
    <t>1,000US$</t>
    <phoneticPr fontId="4"/>
  </si>
  <si>
    <t>$/10^6btu</t>
    <phoneticPr fontId="195"/>
  </si>
  <si>
    <t>OSBL</t>
    <phoneticPr fontId="195"/>
  </si>
  <si>
    <t>1,000t/y</t>
    <phoneticPr fontId="4"/>
  </si>
  <si>
    <t>WACC</t>
    <phoneticPr fontId="4"/>
  </si>
  <si>
    <t>Terminal Value</t>
    <phoneticPr fontId="195"/>
  </si>
  <si>
    <t>(1=Inc, 0=not)</t>
    <phoneticPr fontId="195"/>
  </si>
  <si>
    <t>$/t</t>
    <phoneticPr fontId="4"/>
  </si>
  <si>
    <t>EIRR</t>
    <phoneticPr fontId="195"/>
  </si>
  <si>
    <t xml:space="preserve"> </t>
    <phoneticPr fontId="195"/>
  </si>
  <si>
    <t>Equity</t>
    <phoneticPr fontId="4"/>
  </si>
  <si>
    <t>Year -3</t>
    <phoneticPr fontId="4"/>
  </si>
  <si>
    <t>Year -2</t>
    <phoneticPr fontId="4"/>
  </si>
  <si>
    <t>Year -1</t>
    <phoneticPr fontId="4"/>
  </si>
  <si>
    <t>Year 0</t>
    <phoneticPr fontId="4"/>
  </si>
  <si>
    <t>Year 1</t>
    <phoneticPr fontId="4"/>
  </si>
  <si>
    <t>Year 2</t>
    <phoneticPr fontId="4"/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</si>
  <si>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</si>
  <si>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</si>
  <si>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</si>
  <si>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</si>
  <si>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</si>
  <si>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</si>
  <si>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</si>
  <si>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</si>
  <si>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</si>
  <si>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</si>
  <si>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</si>
  <si>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</si>
  <si>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</si>
  <si>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</si>
  <si>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</si>
  <si>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</si>
  <si>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</si>
  <si>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  <phoneticPr fontId="4"/>
  </si>
  <si>
    <t>(thousand USD)</t>
    <phoneticPr fontId="4"/>
  </si>
  <si>
    <t>&lt;Cash Flow&gt;</t>
    <phoneticPr fontId="4"/>
  </si>
  <si>
    <t>1000$/t-NH3</t>
    <phoneticPr fontId="195"/>
  </si>
  <si>
    <t>Sales Revenue</t>
    <phoneticPr fontId="4"/>
  </si>
  <si>
    <t>Debt Injection</t>
    <phoneticPr fontId="4"/>
  </si>
  <si>
    <t>Equity Injection</t>
    <phoneticPr fontId="4"/>
  </si>
  <si>
    <t>EPC</t>
    <phoneticPr fontId="4"/>
  </si>
  <si>
    <t>comment</t>
    <phoneticPr fontId="4"/>
  </si>
  <si>
    <t>commision</t>
    <phoneticPr fontId="195"/>
  </si>
  <si>
    <t>Operator</t>
    <phoneticPr fontId="4"/>
  </si>
  <si>
    <t>G&amp;A</t>
    <phoneticPr fontId="4"/>
  </si>
  <si>
    <t>Maintenance</t>
  </si>
  <si>
    <t>Tax Insurance</t>
  </si>
  <si>
    <t>Natural Gas</t>
    <phoneticPr fontId="4"/>
  </si>
  <si>
    <t>Other Variables</t>
    <phoneticPr fontId="4"/>
  </si>
  <si>
    <t>Repayment</t>
    <phoneticPr fontId="4"/>
  </si>
  <si>
    <t>Interest</t>
    <phoneticPr fontId="4"/>
  </si>
  <si>
    <t>Net CF</t>
    <phoneticPr fontId="4"/>
  </si>
  <si>
    <t>NCF</t>
    <phoneticPr fontId="195"/>
  </si>
  <si>
    <t>&lt;B/S&gt;</t>
    <phoneticPr fontId="4"/>
  </si>
  <si>
    <t>Plant Equipment</t>
  </si>
  <si>
    <t>Cash</t>
    <phoneticPr fontId="4"/>
  </si>
  <si>
    <t>Debt</t>
    <phoneticPr fontId="4"/>
  </si>
  <si>
    <t>&lt;P/L&gt;</t>
    <phoneticPr fontId="4"/>
  </si>
  <si>
    <t>Depreciation</t>
    <phoneticPr fontId="4"/>
  </si>
  <si>
    <t>Insurance</t>
    <phoneticPr fontId="4"/>
  </si>
  <si>
    <t>EBT</t>
    <phoneticPr fontId="4"/>
  </si>
  <si>
    <t>Net Income</t>
    <phoneticPr fontId="4"/>
  </si>
  <si>
    <t>INCOME</t>
    <phoneticPr fontId="195"/>
  </si>
  <si>
    <t xml:space="preserve">Equity IRR </t>
    <phoneticPr fontId="4"/>
  </si>
  <si>
    <t>(Debt=non recourse P/F basis)</t>
    <phoneticPr fontId="4"/>
  </si>
  <si>
    <t>TAX</t>
    <phoneticPr fontId="4"/>
  </si>
  <si>
    <t>Region</t>
    <phoneticPr fontId="195"/>
  </si>
  <si>
    <t>North America</t>
    <phoneticPr fontId="195"/>
  </si>
  <si>
    <t>Sensitivity Analysis</t>
    <phoneticPr fontId="195"/>
  </si>
  <si>
    <t>Default Value</t>
    <phoneticPr fontId="195"/>
  </si>
  <si>
    <t>ON/OFF</t>
    <phoneticPr fontId="195"/>
  </si>
  <si>
    <t>Financial Input Value</t>
    <phoneticPr fontId="195"/>
  </si>
  <si>
    <t>NG Price</t>
    <phoneticPr fontId="195"/>
  </si>
  <si>
    <t>Interest Rate</t>
    <phoneticPr fontId="4"/>
  </si>
  <si>
    <t>Corporate Tax Rate</t>
    <phoneticPr fontId="4"/>
  </si>
  <si>
    <t>NH3 Production Capacity</t>
    <phoneticPr fontId="4"/>
  </si>
  <si>
    <t>NH3 Shipping Price (FOB)</t>
    <phoneticPr fontId="4"/>
  </si>
  <si>
    <t xml:space="preserve"> NH3 export (tank+P/L, etc.)*1</t>
    <phoneticPr fontId="195"/>
  </si>
  <si>
    <t xml:space="preserve"> CO2 transport (to CCS sites)*2</t>
    <phoneticPr fontId="195"/>
  </si>
  <si>
    <t>Input Value</t>
    <phoneticPr fontId="195"/>
  </si>
  <si>
    <t>for ISBL+OSBL</t>
    <phoneticPr fontId="195"/>
  </si>
  <si>
    <t>for EPC Total</t>
    <phoneticPr fontId="195"/>
  </si>
  <si>
    <t>from 0 to 5 %</t>
    <phoneticPr fontId="195"/>
  </si>
  <si>
    <t>Reduction Rate</t>
    <phoneticPr fontId="195"/>
  </si>
  <si>
    <t>years</t>
    <phoneticPr fontId="4"/>
  </si>
  <si>
    <t>Duration of Project</t>
    <phoneticPr fontId="4"/>
  </si>
  <si>
    <t>Utilization Rate</t>
    <phoneticPr fontId="4"/>
  </si>
  <si>
    <t>Principal Repayment Period</t>
    <phoneticPr fontId="4"/>
  </si>
  <si>
    <t>Depreciation Period</t>
    <phoneticPr fontId="4"/>
  </si>
  <si>
    <t>Remaining Depreciation Years</t>
    <phoneticPr fontId="195"/>
  </si>
  <si>
    <t>Tax (Corporate Tax under Tax Code)</t>
    <phoneticPr fontId="4"/>
  </si>
  <si>
    <t>Tax (Accounting Corporate Tax)</t>
    <phoneticPr fontId="4"/>
  </si>
  <si>
    <t>Corporate Tax</t>
    <phoneticPr fontId="195"/>
  </si>
  <si>
    <t>Depreciation</t>
    <phoneticPr fontId="195"/>
  </si>
  <si>
    <t>Interest Rate</t>
    <phoneticPr fontId="195"/>
  </si>
  <si>
    <t>Devidend (Dividend rate is 100%.)</t>
    <phoneticPr fontId="195"/>
  </si>
  <si>
    <t>Depreciation for Tax Purposes</t>
    <phoneticPr fontId="4"/>
  </si>
  <si>
    <t>Remaining Book Value at Year End</t>
    <phoneticPr fontId="4"/>
  </si>
  <si>
    <t>Depreciation Rate</t>
    <phoneticPr fontId="4"/>
  </si>
  <si>
    <t>Average Selling Price</t>
    <phoneticPr fontId="195"/>
  </si>
  <si>
    <t>Principal and Interest</t>
    <phoneticPr fontId="195"/>
  </si>
  <si>
    <t>Capital</t>
    <phoneticPr fontId="195"/>
  </si>
  <si>
    <t>Operating Income to Net Sales</t>
    <phoneticPr fontId="4"/>
  </si>
  <si>
    <t>(Assumptions)</t>
    <phoneticPr fontId="195"/>
  </si>
  <si>
    <t>Assumptions</t>
    <phoneticPr fontId="4"/>
  </si>
  <si>
    <t>NH3 Production per Day</t>
    <phoneticPr fontId="195"/>
  </si>
  <si>
    <t>NH3 Production per Year</t>
    <phoneticPr fontId="4"/>
  </si>
  <si>
    <t>Facility Utilization Rate</t>
    <phoneticPr fontId="4"/>
  </si>
  <si>
    <t>Production Process</t>
    <phoneticPr fontId="195"/>
  </si>
  <si>
    <t>Natural Gas Input per Day</t>
    <phoneticPr fontId="195"/>
  </si>
  <si>
    <t>CO2 Capture</t>
    <phoneticPr fontId="195"/>
  </si>
  <si>
    <t>Operating Days per Year</t>
    <phoneticPr fontId="195"/>
  </si>
  <si>
    <t>　Capture Rate</t>
    <phoneticPr fontId="195"/>
  </si>
  <si>
    <t>Raw Fuel Input</t>
    <phoneticPr fontId="195"/>
  </si>
  <si>
    <t>Only SynGas</t>
    <phoneticPr fontId="195"/>
  </si>
  <si>
    <t>Ratio of Captured Amount
to Total Emission</t>
    <phoneticPr fontId="195"/>
  </si>
  <si>
    <t>Investment</t>
    <phoneticPr fontId="4"/>
  </si>
  <si>
    <t>　　OSBL Subtotal</t>
    <phoneticPr fontId="195"/>
  </si>
  <si>
    <t>Total</t>
    <phoneticPr fontId="195"/>
  </si>
  <si>
    <t>IRR Calculation Sheets</t>
    <phoneticPr fontId="4"/>
  </si>
  <si>
    <t>IRR Calculation Sheets</t>
    <phoneticPr fontId="195"/>
  </si>
  <si>
    <t>　　Total</t>
    <phoneticPr fontId="195"/>
  </si>
  <si>
    <t>Years of Depreciation</t>
    <phoneticPr fontId="195"/>
  </si>
  <si>
    <t>Straight-line Depreciation</t>
    <phoneticPr fontId="195"/>
  </si>
  <si>
    <t>Composition (mol%)</t>
    <phoneticPr fontId="195"/>
  </si>
  <si>
    <t>Average Molecular Weight (MW）</t>
    <phoneticPr fontId="195"/>
  </si>
  <si>
    <t>CO2 Emission</t>
    <phoneticPr fontId="195"/>
  </si>
  <si>
    <t>Ratio of LHV to HHV</t>
    <phoneticPr fontId="195"/>
  </si>
  <si>
    <t>(After LF Adjustment )</t>
    <phoneticPr fontId="195"/>
  </si>
  <si>
    <t>After LF Adjustmentｘ</t>
    <phoneticPr fontId="195"/>
  </si>
  <si>
    <t>Recalculated Total</t>
    <phoneticPr fontId="195"/>
  </si>
  <si>
    <t>L/F (Using the U.S. as a reference)=</t>
    <phoneticPr fontId="195"/>
  </si>
  <si>
    <t>Electric Power (Purchase)</t>
    <phoneticPr fontId="195"/>
  </si>
  <si>
    <t>Industrial Water (Purchase)</t>
    <phoneticPr fontId="195"/>
  </si>
  <si>
    <t>Industrial Water per Ton of NH3</t>
    <phoneticPr fontId="195"/>
  </si>
  <si>
    <t>persons ＝</t>
    <phoneticPr fontId="4"/>
  </si>
  <si>
    <t>Personnel</t>
    <phoneticPr fontId="195"/>
  </si>
  <si>
    <t>persons</t>
    <phoneticPr fontId="4"/>
  </si>
  <si>
    <t>persons/shift x</t>
    <phoneticPr fontId="4"/>
  </si>
  <si>
    <t>shift/day</t>
    <phoneticPr fontId="4"/>
  </si>
  <si>
    <t>1,000$/person</t>
    <phoneticPr fontId="4"/>
  </si>
  <si>
    <t>2. Variable Cost</t>
    <phoneticPr fontId="4"/>
  </si>
  <si>
    <t>Labor Cost (Operators)</t>
    <phoneticPr fontId="4"/>
  </si>
  <si>
    <t>Maintenance Cost ②</t>
    <phoneticPr fontId="195"/>
  </si>
  <si>
    <t>Insurance and Indirect Tax</t>
    <phoneticPr fontId="195"/>
  </si>
  <si>
    <t>Subtotal</t>
    <phoneticPr fontId="195"/>
  </si>
  <si>
    <t>Export Price (FOB)</t>
    <phoneticPr fontId="195"/>
  </si>
  <si>
    <t>Freight</t>
    <phoneticPr fontId="195"/>
  </si>
  <si>
    <t>FOB, Fuel Tanker</t>
    <phoneticPr fontId="195"/>
  </si>
  <si>
    <t>Cost Breakdown（by Accounting Item: PL）</t>
    <phoneticPr fontId="4"/>
  </si>
  <si>
    <t>Export Price (FOB）</t>
    <phoneticPr fontId="195"/>
  </si>
  <si>
    <t>Purchase of Natural Gas</t>
    <phoneticPr fontId="195"/>
  </si>
  <si>
    <t>Cost Breakdown by Segment (First Year)</t>
    <phoneticPr fontId="4"/>
  </si>
  <si>
    <t>Transportation from Country of Production to Japan</t>
    <phoneticPr fontId="195"/>
  </si>
  <si>
    <t>Unloading and Delivery</t>
    <phoneticPr fontId="195"/>
  </si>
  <si>
    <t>NH3 Production , CO2 Capture, etc.</t>
    <phoneticPr fontId="195"/>
  </si>
  <si>
    <t>Yen/T-NH3</t>
    <phoneticPr fontId="4"/>
  </si>
  <si>
    <t>Exchange Rate</t>
    <phoneticPr fontId="195"/>
  </si>
  <si>
    <t>Yen/US$</t>
    <phoneticPr fontId="195"/>
  </si>
  <si>
    <t>= Default Input (Recommended Value)</t>
    <phoneticPr fontId="195"/>
  </si>
  <si>
    <t>= Input for Sensitivity Analysis</t>
    <phoneticPr fontId="195"/>
  </si>
  <si>
    <t>= Input for IRR sheet</t>
    <phoneticPr fontId="195"/>
  </si>
  <si>
    <t>(Financial Condition)</t>
    <phoneticPr fontId="195"/>
  </si>
  <si>
    <t>Annual Rate of Price Increase (NG)</t>
    <phoneticPr fontId="195"/>
  </si>
  <si>
    <t>Annual Rate of Price Increase (NH3)</t>
    <phoneticPr fontId="195"/>
  </si>
  <si>
    <t>Annual Rate of Price Increase (Others)</t>
    <phoneticPr fontId="195"/>
  </si>
  <si>
    <t xml:space="preserve">Corporate Tax (US$/t-NH3) * </t>
    <phoneticPr fontId="195"/>
  </si>
  <si>
    <t>Export Price (FOB) (US$/t-NH3)</t>
    <phoneticPr fontId="195"/>
  </si>
  <si>
    <t>Fixed Cost (US$/t-NH3)</t>
    <phoneticPr fontId="195"/>
  </si>
  <si>
    <t>Profit (after Tax)</t>
    <phoneticPr fontId="195"/>
  </si>
  <si>
    <t>　Depreciation Expenses</t>
    <phoneticPr fontId="195"/>
  </si>
  <si>
    <t>　Others</t>
    <phoneticPr fontId="195"/>
  </si>
  <si>
    <t>　Cost of CO2 Sequestration</t>
    <phoneticPr fontId="195"/>
  </si>
  <si>
    <t>　Labor Cost</t>
    <phoneticPr fontId="4"/>
  </si>
  <si>
    <t>　Maintenance Cost</t>
    <phoneticPr fontId="195"/>
  </si>
  <si>
    <t>　Cost of Natural Gas</t>
    <phoneticPr fontId="195"/>
  </si>
  <si>
    <t>CIF Price in Japan</t>
    <phoneticPr fontId="195"/>
  </si>
  <si>
    <t>　General Management Cost,
    Insurance, Tax, and Rent</t>
    <phoneticPr fontId="195"/>
  </si>
  <si>
    <t>1st Year</t>
    <phoneticPr fontId="195"/>
  </si>
  <si>
    <t>8th Year</t>
    <phoneticPr fontId="195"/>
  </si>
  <si>
    <t>13th Year</t>
    <phoneticPr fontId="195"/>
  </si>
  <si>
    <t>18th Year</t>
    <phoneticPr fontId="195"/>
  </si>
  <si>
    <t>20th Year</t>
    <phoneticPr fontId="195"/>
  </si>
  <si>
    <t>Construction and Commissioning: 4 years</t>
  </si>
  <si>
    <t>CIF Price in Japan (US$/t-NH3)</t>
    <phoneticPr fontId="195"/>
  </si>
  <si>
    <t>　Additional Cost: 1) CO2 P/L</t>
    <phoneticPr fontId="195"/>
  </si>
  <si>
    <t>8,000 Hours</t>
    <phoneticPr fontId="195"/>
  </si>
  <si>
    <t>Second Generation
~ O2-ATR Method</t>
    <phoneticPr fontId="195"/>
  </si>
  <si>
    <t>Composition, Heating Value, and CO2 Emission
of Natural Gas being used as Material and Fuel</t>
    <phoneticPr fontId="195"/>
  </si>
  <si>
    <t>Higher Heating Value (HHV）</t>
    <phoneticPr fontId="195"/>
  </si>
  <si>
    <t>Lower Heating Value (LHV）</t>
    <phoneticPr fontId="195"/>
  </si>
  <si>
    <t>The duration of the project
is assumed to be 20 years.</t>
    <phoneticPr fontId="195"/>
  </si>
  <si>
    <t>Assumptions</t>
  </si>
  <si>
    <t>1. Fixed Cost</t>
  </si>
  <si>
    <t>EPC Total (Adjusted for Inflation)</t>
    <phoneticPr fontId="4"/>
  </si>
  <si>
    <r>
      <t xml:space="preserve">    </t>
    </r>
    <r>
      <rPr>
        <b/>
        <sz val="11"/>
        <rFont val="Meiryo UI"/>
        <family val="3"/>
        <charset val="128"/>
      </rPr>
      <t>CO2 Emission per Ton of NH3</t>
    </r>
    <phoneticPr fontId="195"/>
  </si>
  <si>
    <r>
      <t>　</t>
    </r>
    <r>
      <rPr>
        <b/>
        <sz val="11"/>
        <rFont val="Meiryo UI"/>
        <family val="3"/>
        <charset val="128"/>
      </rPr>
      <t>Captured Amount</t>
    </r>
    <phoneticPr fontId="195"/>
  </si>
  <si>
    <r>
      <t>CH</t>
    </r>
    <r>
      <rPr>
        <b/>
        <vertAlign val="subscript"/>
        <sz val="9"/>
        <rFont val="Meiryo UI"/>
        <family val="3"/>
        <charset val="128"/>
      </rPr>
      <t>4</t>
    </r>
    <r>
      <rPr>
        <b/>
        <sz val="9"/>
        <rFont val="Meiryo UI"/>
        <family val="3"/>
        <charset val="128"/>
      </rPr>
      <t>:93.9%,C</t>
    </r>
    <r>
      <rPr>
        <b/>
        <vertAlign val="subscript"/>
        <sz val="9"/>
        <rFont val="Meiryo UI"/>
        <family val="3"/>
        <charset val="128"/>
      </rPr>
      <t>2</t>
    </r>
    <r>
      <rPr>
        <b/>
        <sz val="9"/>
        <rFont val="Meiryo UI"/>
        <family val="3"/>
        <charset val="128"/>
      </rPr>
      <t>H</t>
    </r>
    <r>
      <rPr>
        <b/>
        <vertAlign val="subscript"/>
        <sz val="9"/>
        <rFont val="Meiryo UI"/>
        <family val="3"/>
        <charset val="128"/>
      </rPr>
      <t>6</t>
    </r>
    <r>
      <rPr>
        <b/>
        <sz val="9"/>
        <rFont val="Meiryo UI"/>
        <family val="3"/>
        <charset val="128"/>
      </rPr>
      <t>:4.2%</t>
    </r>
    <phoneticPr fontId="195"/>
  </si>
  <si>
    <t>Feedstock and Energy</t>
    <phoneticPr fontId="195"/>
  </si>
  <si>
    <t>Heat and Natural Gas
Required per ton of NH3</t>
    <phoneticPr fontId="195"/>
  </si>
  <si>
    <t>Price of feedstock and Fuel</t>
    <phoneticPr fontId="4"/>
  </si>
  <si>
    <t>Natural gas (NG)</t>
    <phoneticPr fontId="195"/>
  </si>
  <si>
    <t>% of c</t>
    <phoneticPr fontId="195"/>
  </si>
  <si>
    <t>Contingency allowance</t>
    <phoneticPr fontId="195"/>
  </si>
  <si>
    <t>Cost reduction</t>
    <phoneticPr fontId="195"/>
  </si>
  <si>
    <t>% of d</t>
    <phoneticPr fontId="195"/>
  </si>
  <si>
    <t>Electric Power per Ton of NH3</t>
    <phoneticPr fontId="195"/>
  </si>
  <si>
    <t>Catalyst and Chemicals per Ton of NH3</t>
    <phoneticPr fontId="195"/>
  </si>
  <si>
    <t>General &amp; Administrative Expenses (Plant)</t>
    <phoneticPr fontId="195"/>
  </si>
  <si>
    <t>Utility cost</t>
    <phoneticPr fontId="195"/>
  </si>
  <si>
    <t>Catalyst and Chemicals</t>
    <phoneticPr fontId="195"/>
  </si>
  <si>
    <t>CO2 Transfer</t>
    <phoneticPr fontId="195"/>
  </si>
  <si>
    <t>Variable cost (US$/t-NH3)</t>
    <phoneticPr fontId="195"/>
  </si>
  <si>
    <t>Depreciation &amp; Interest (US$/t-NH3)</t>
    <phoneticPr fontId="195"/>
  </si>
  <si>
    <t>　Interest</t>
    <phoneticPr fontId="195"/>
  </si>
  <si>
    <t>Transportation (Freight)</t>
    <phoneticPr fontId="195"/>
  </si>
  <si>
    <t>Note *: Corporate tax is estimated based on the profit on accounting basis, not on net cash flow basis.</t>
    <phoneticPr fontId="195"/>
  </si>
  <si>
    <t>D/E (Equity%)</t>
    <phoneticPr fontId="195"/>
  </si>
  <si>
    <t>CO2 Sequestration</t>
    <phoneticPr fontId="195"/>
  </si>
  <si>
    <t>In-tank Price (User's Price)</t>
    <phoneticPr fontId="195"/>
  </si>
  <si>
    <t>(Equity share of depreciation added)</t>
    <phoneticPr fontId="195"/>
  </si>
  <si>
    <t xml:space="preserve"> ISBL+OSBL (excluding *1 and *2)</t>
    <phoneticPr fontId="195"/>
  </si>
  <si>
    <t xml:space="preserve"> Contingency allowance</t>
    <phoneticPr fontId="195"/>
  </si>
  <si>
    <t xml:space="preserve"> EPC Cost reduction</t>
    <phoneticPr fontId="195"/>
  </si>
  <si>
    <t>Annual % of Price Increase (NH3)</t>
    <phoneticPr fontId="4"/>
  </si>
  <si>
    <t>Annual % of Price Increase (NG)</t>
    <phoneticPr fontId="4"/>
  </si>
  <si>
    <t>Annual % of Price Increase
(other than NH3 and NG)</t>
    <phoneticPr fontId="4"/>
  </si>
  <si>
    <t>Equity %</t>
    <phoneticPr fontId="4"/>
  </si>
  <si>
    <t>Debt Service Coverage Ratio</t>
    <phoneticPr fontId="195"/>
  </si>
  <si>
    <t>EPC cost reduction rate</t>
    <phoneticPr fontId="195"/>
  </si>
  <si>
    <t>Capital acquisition cost</t>
    <phoneticPr fontId="4"/>
  </si>
  <si>
    <t>of ISBL and OSBL</t>
    <phoneticPr fontId="195"/>
  </si>
  <si>
    <t>Location factor (LF)</t>
    <phoneticPr fontId="195"/>
  </si>
  <si>
    <t>Debt Service Coverage Ratio (DSCR)</t>
    <phoneticPr fontId="195"/>
  </si>
  <si>
    <t>Accelerated Depreciation</t>
    <phoneticPr fontId="4"/>
  </si>
  <si>
    <t>Taxable Income
(under accelerated depreciation)</t>
    <phoneticPr fontId="4"/>
  </si>
  <si>
    <t>Cash Cost Calculation (First Year)</t>
    <phoneticPr fontId="4"/>
  </si>
  <si>
    <t>Average
of 20 Years</t>
    <phoneticPr fontId="195"/>
  </si>
  <si>
    <t>EPC cost distriution</t>
    <phoneticPr fontId="195"/>
  </si>
  <si>
    <t>　Additional Cost: 2) NH3 Loading</t>
    <phoneticPr fontId="19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</si>
</sst>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8">
    <numFmt numFmtId="8" formatCode="&quot;¥&quot;#,##0.00;[Red]&quot;¥&quot;\-#,##0.00"/>
    <numFmt numFmtId="176" formatCode="_-* #,##0_-;\-* #,##0_-;_-* &quot;-&quot;_-;_-@_-"/>
    <numFmt numFmtId="177" formatCode="0.0%"/>
    <numFmt numFmtId="178" formatCode="0.0_ "/>
    <numFmt numFmtId="179" formatCode="0_ "/>
    <numFmt numFmtId="180" formatCode="#,##0_);[Red]\(#,##0\)"/>
    <numFmt numFmtId="181" formatCode="#,##0;[Red]\-#,##0;\-"/>
    <numFmt numFmtId="182" formatCode="0.00_ "/>
    <numFmt numFmtId="183" formatCode="#,##0_ "/>
    <numFmt numFmtId="184" formatCode="#,##0.0_);[Red]\(#,##0.0\)"/>
    <numFmt numFmtId="185" formatCode="0.0"/>
    <numFmt numFmtId="186" formatCode="#,###;\(#,###\)"/>
    <numFmt numFmtId="187" formatCode="#,##0.00_);\(#,##0.00\);"/>
    <numFmt numFmtId="188" formatCode="&quot;$&quot;#,##0.00_);\(&quot;$&quot;#,##0.00\);"/>
    <numFmt numFmtId="189" formatCode="0.000000"/>
    <numFmt numFmtId="190" formatCode="#,##0;\(#,##0\)"/>
    <numFmt numFmtId="191" formatCode="_(* #,##0.00_)&quot;/MWh&quot;;_(* \(#,##0.00\)&quot;/MWh&quot;;_(* &quot;-&quot;??_);_(@_)"/>
    <numFmt numFmtId="192" formatCode="&quot;$&quot;#,##0_);\(&quot;$&quot;#,##0\);&quot;$&quot;#,##0_)"/>
    <numFmt numFmtId="193" formatCode="dd/mm/yy"/>
    <numFmt numFmtId="194" formatCode="#,##0\x_);\(#,##0\x\);#,##0\x_)"/>
    <numFmt numFmtId="195" formatCode="#,##0_);\(#,##0\)"/>
    <numFmt numFmtId="196" formatCode="#,##0%_);\(#,##0%\);#,##0%_)"/>
    <numFmt numFmtId="197" formatCode="###0_);\(###0\);###0_)"/>
    <numFmt numFmtId="198" formatCode="_(&quot;$&quot;#,##0.0_);\(&quot;$&quot;#,##0.0\);_(&quot;-&quot;_)"/>
    <numFmt numFmtId="199" formatCode="d/m/yy"/>
    <numFmt numFmtId="200" formatCode="_(#,##0.0\x_);\(#,##0.0\x\);_(&quot;-&quot;_)"/>
    <numFmt numFmtId="201" formatCode="_(#,##0.0_);\(#,##0.0\);_(&quot;-&quot;_)"/>
    <numFmt numFmtId="202" formatCode="_(#,##0.0%_);\(#,##0.0%\);_(&quot;-&quot;_)"/>
    <numFmt numFmtId="203" formatCode="_(###0_);\(###0\);_(###0_)"/>
    <numFmt numFmtId="204" formatCode="_(* &quot;$&quot;#,##0_)_;;_(* \(&quot;$&quot;#,##0\)_;;_(* &quot;$&quot;#,##0_)_;"/>
    <numFmt numFmtId="205" formatCode="d/m/yy__;"/>
    <numFmt numFmtId="206" formatCode="_(* #,##0\x_)_;;_(* \(#,##0\x\)_;;_(* #,##0\x_)_;"/>
    <numFmt numFmtId="207" formatCode="_(* #,##0_)_;;_(* \(#,##0\)_;;_(* #,##0_)_;"/>
    <numFmt numFmtId="208" formatCode="_(* #,##0%_)_;;_(* \(#,##0%\)_;;_(* #,##0%_)_;"/>
    <numFmt numFmtId="209" formatCode="###0_)_;;\(###0\)_;;###0_)_;"/>
    <numFmt numFmtId="210" formatCode="&quot;$&quot;#,##0;\(&quot;$&quot;#,##0\);&quot;$&quot;#,##0"/>
    <numFmt numFmtId="211" formatCode="#,##0\x;\(#,##0\x\);#,##0\x"/>
    <numFmt numFmtId="212" formatCode="#,##0%;\(#,##0%\);#,##0%"/>
    <numFmt numFmtId="213" formatCode="###0;\(###0\);###0"/>
    <numFmt numFmtId="214" formatCode="_)d/m/yy_)"/>
    <numFmt numFmtId="215" formatCode="_(* #,##0.000000_);_(* \(#,##0.000000\);_(* &quot;-&quot;??_);_(@_)"/>
    <numFmt numFmtId="216" formatCode="#,##0.0_);\(#,##0.0\);&quot;-&quot;?"/>
    <numFmt numFmtId="217" formatCode="_(* #,##0.00_);_(* \(#,##0.00\);_(* &quot;-&quot;??_);_(@_)"/>
    <numFmt numFmtId="218" formatCode="&quot;$&quot;#,##0.00_);[Red]\(&quot;$&quot;#,##0.00\)"/>
    <numFmt numFmtId="219" formatCode="&quot;$&quot;#,##0.00_);\(&quot;$&quot;#,##0.00\)"/>
    <numFmt numFmtId="220" formatCode="_(&quot;$&quot;* #,##0.00_);_(&quot;$&quot;* \(#,##0.00\);_(&quot;$&quot;* &quot;-&quot;??_);_(@_)"/>
    <numFmt numFmtId="221" formatCode="&quot;$&quot;#,##0\ ;\(&quot;$&quot;#,##0\)"/>
    <numFmt numFmtId="222" formatCode="mmm\-d\-yyyy"/>
    <numFmt numFmtId="223" formatCode="mmm\-yyyy"/>
    <numFmt numFmtId="224" formatCode="m/d/yy\ h:mm"/>
    <numFmt numFmtId="225" formatCode="#,##0.00_);\(#,##0.00\);\-_)"/>
    <numFmt numFmtId="226" formatCode="_-* #,##0.00_-;\-* #,##0.00_-;_-* &quot;-&quot;??_-;_-@_-"/>
    <numFmt numFmtId="227" formatCode="dd/mm/yy__;"/>
    <numFmt numFmtId="228" formatCode="#,##0.000_);[Red]\(#,##0.000\)"/>
    <numFmt numFmtId="229" formatCode="_(* &quot;$&quot;#,##0_)_;;[Blue]_(* \(&quot;$&quot;#,##0\)_;;_(* &quot;$&quot;#,##0_)_;"/>
    <numFmt numFmtId="230" formatCode="_(* #,##0\x_)_;;[Blue]_(* \(#,##0\x\)_;;_(* #,##0\x_)_;"/>
    <numFmt numFmtId="231" formatCode="_(* #,##0_)_;;[Blue]_(* \(#,##0\)_;;_(* #,##0_)_;"/>
    <numFmt numFmtId="232" formatCode="_(* #,##0%_)_;;[Blue]_(* \(#,##0%\)_;;_(* #,##0%_)_;"/>
    <numFmt numFmtId="233" formatCode="#\ ##0.0"/>
    <numFmt numFmtId="234" formatCode="_(&quot;$&quot;* #,##0_);_(&quot;$&quot;* \(#,##0\);_(&quot;$&quot;* &quot;-&quot;??_);_(@_)"/>
    <numFmt numFmtId="235" formatCode="\ ;\ ;"/>
    <numFmt numFmtId="236" formatCode="0.000"/>
    <numFmt numFmtId="237" formatCode="#,##0.00,,_);\(#,##0.00,,\);\-_0_0;"/>
    <numFmt numFmtId="238" formatCode="_-* #,##0.00\ _-;\(#,##0.00\)_-;_-* &quot;-&quot;??_-;_-@_-"/>
    <numFmt numFmtId="239" formatCode="&quot;YEAR&quot;\ 0"/>
    <numFmt numFmtId="240" formatCode="_(* #,##0.0_);_(* \(#,##0.0\);_(* &quot;-&quot;?_);_(@_)"/>
    <numFmt numFmtId="241" formatCode="#,##0.0_);\(#,##0.0\)"/>
    <numFmt numFmtId="242" formatCode="_(* #,##0_);_(* \(#,##0\);_(* &quot;-&quot;_);_(@_)"/>
    <numFmt numFmtId="243" formatCode="_(#,##0_);\(#,##0\);_(&quot;-&quot;_)"/>
    <numFmt numFmtId="244" formatCode="#,##0_);[Blue]\(#,##0\);#,##0_)"/>
    <numFmt numFmtId="245" formatCode="#,##0.00,,;\-#,##0.00,,;\-"/>
    <numFmt numFmtId="246" formatCode="mmm\ yy"/>
    <numFmt numFmtId="247" formatCode="_(&quot;$&quot;* #,##0_);_(&quot;$&quot;* \(#,##0\);_(&quot;$&quot;* &quot;-&quot;_);_(@_)"/>
    <numFmt numFmtId="248" formatCode="mmmm"/>
    <numFmt numFmtId="249" formatCode="0.00_)"/>
    <numFmt numFmtId="250" formatCode="#,##0.00\x_);[Red]\(#,##0.00\x\);&quot;--  &quot;"/>
    <numFmt numFmtId="251" formatCode="&quot;On&quot;_);;&quot;Off&quot;_)"/>
    <numFmt numFmtId="252" formatCode="_(* #,##0_);_(* \(#,##0\);_(* &quot;-&quot;??_);_(@_)"/>
    <numFmt numFmtId="253" formatCode="_-* #,##0.0_-;\-* #,##0.0_-;_-* &quot;-&quot;??_-;_-@_-"/>
    <numFmt numFmtId="254" formatCode="#,##0.000;[Red]\-#,##0.000"/>
    <numFmt numFmtId="255" formatCode="0.000E+00"/>
    <numFmt numFmtId="256" formatCode="0.0000"/>
    <numFmt numFmtId="257" formatCode="0%;[Red]\(0%\)"/>
    <numFmt numFmtId="258" formatCode="#,##0,_);\(#,##0,\);\-_0"/>
    <numFmt numFmtId="259" formatCode="0.00\ \ \x"/>
    <numFmt numFmtId="260" formatCode="_(&quot;$&quot;#,##0.0_);\(&quot;$&quot;#,##0.0\);_(&quot;$&quot;#,##0.0_)"/>
    <numFmt numFmtId="261" formatCode="mmm\ dd\,\ yyyy"/>
    <numFmt numFmtId="262" formatCode="yyyy"/>
    <numFmt numFmtId="263" formatCode="#,##0_ ;\(#,##0\)_-;&quot;-&quot;"/>
    <numFmt numFmtId="264" formatCode=";;;&quot;[&quot;@&quot;]&quot;"/>
    <numFmt numFmtId="265" formatCode="_-&quot;£&quot;* #,##0_-;\-&quot;£&quot;* #,##0_-;_-&quot;£&quot;* &quot;-&quot;_-;_-@_-"/>
    <numFmt numFmtId="266" formatCode="_-&quot;£&quot;* #,##0.00_-;\-&quot;£&quot;* #,##0.00_-;_-&quot;£&quot;* &quot;-&quot;??_-;_-@_-"/>
    <numFmt numFmtId="267" formatCode="#,##0.00_ "/>
    <numFmt numFmtId="268" formatCode="#,##0.0;[Red]\-#,##0.0"/>
    <numFmt numFmtId="269" formatCode="0.000%"/>
    <numFmt numFmtId="270" formatCode="#,##0.0_ "/>
    <numFmt numFmtId="271" formatCode="#,##0.000_ ;[Red]\-#,##0.000\ "/>
    <numFmt numFmtId="272" formatCode="#,##0.0000;[Red]\-#,##0.0000"/>
  </numFmts>
  <fonts count="217">
    <font>
      <sz val="10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</font>
    <font>
      <sz val="8"/>
      <name val="Arial"/>
      <family val="2"/>
    </font>
    <font>
      <sz val="6"/>
      <name val="ＭＳ Ｐゴシック"/>
      <family val="3"/>
      <charset val="128"/>
    </font>
    <font>
      <sz val="9"/>
      <name val="Futura Lt BT"/>
      <family val="2"/>
    </font>
    <font>
      <sz val="11"/>
      <name val="ＭＳ Ｐゴシック"/>
      <family val="3"/>
      <charset val="128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name val="ＭＳ Ｐゴシック"/>
      <family val="3"/>
      <charset val="128"/>
    </font>
    <font>
      <b/>
      <sz val="14"/>
      <name val="Arial"/>
      <family val="2"/>
    </font>
    <font>
      <sz val="12"/>
      <name val="Arial"/>
      <family val="2"/>
    </font>
    <font>
      <sz val="12"/>
      <name val="Helv"/>
      <family val="2"/>
    </font>
    <font>
      <sz val="9"/>
      <name val="Times New Roman"/>
      <family val="1"/>
    </font>
    <font>
      <sz val="10"/>
      <name val="Geneva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sz val="8"/>
      <name val="Times New Roman"/>
      <family val="1"/>
    </font>
    <font>
      <sz val="8"/>
      <color indexed="60"/>
      <name val="Arial"/>
      <family val="2"/>
    </font>
    <font>
      <sz val="8"/>
      <color indexed="24"/>
      <name val="Arial"/>
      <family val="2"/>
    </font>
    <font>
      <b/>
      <sz val="10"/>
      <color indexed="24"/>
      <name val="Arial"/>
      <family val="2"/>
    </font>
    <font>
      <b/>
      <sz val="9"/>
      <color indexed="24"/>
      <name val="Arial"/>
      <family val="2"/>
    </font>
    <font>
      <b/>
      <sz val="8"/>
      <color indexed="24"/>
      <name val="Arial"/>
      <family val="2"/>
    </font>
    <font>
      <b/>
      <sz val="12"/>
      <color indexed="24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b/>
      <sz val="9"/>
      <name val="Times New Roman"/>
      <family val="1"/>
    </font>
    <font>
      <sz val="11"/>
      <color indexed="20"/>
      <name val="Calibri"/>
      <family val="2"/>
    </font>
    <font>
      <sz val="10"/>
      <name val="Times New Roman"/>
      <family val="1"/>
    </font>
    <font>
      <sz val="10"/>
      <color indexed="12"/>
      <name val="Palatino"/>
      <family val="1"/>
    </font>
    <font>
      <sz val="12"/>
      <name val="Tms Rm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color indexed="8"/>
      <name val="Arial"/>
      <family val="2"/>
    </font>
    <font>
      <sz val="9"/>
      <name val="Trebuchet MS"/>
      <family val="2"/>
    </font>
    <font>
      <sz val="8"/>
      <name val="Palatino"/>
      <family val="1"/>
    </font>
    <font>
      <sz val="12"/>
      <color indexed="24"/>
      <name val="Arial"/>
      <family val="2"/>
    </font>
    <font>
      <sz val="10"/>
      <name val="Helv"/>
      <family val="2"/>
    </font>
    <font>
      <sz val="12"/>
      <name val="TIMES"/>
      <family val="1"/>
    </font>
    <font>
      <b/>
      <sz val="14"/>
      <color indexed="60"/>
      <name val="Arial"/>
      <family val="2"/>
    </font>
    <font>
      <sz val="10"/>
      <name val="MS Serif"/>
      <family val="1"/>
    </font>
    <font>
      <b/>
      <sz val="8"/>
      <color indexed="29"/>
      <name val="Arial"/>
      <family val="2"/>
    </font>
    <font>
      <b/>
      <sz val="14"/>
      <color indexed="24"/>
      <name val="Arial"/>
      <family val="2"/>
    </font>
    <font>
      <b/>
      <sz val="8"/>
      <name val="Arial"/>
      <family val="2"/>
    </font>
    <font>
      <b/>
      <sz val="10"/>
      <name val="Times New Roman"/>
      <family val="1"/>
    </font>
    <font>
      <sz val="10"/>
      <color indexed="23"/>
      <name val="Arial"/>
      <family val="2"/>
    </font>
    <font>
      <sz val="10"/>
      <name val="Courier"/>
      <family val="3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2"/>
      <color indexed="14"/>
      <name val="Arial"/>
      <family val="2"/>
    </font>
    <font>
      <sz val="7"/>
      <name val="Palatino"/>
      <family val="1"/>
    </font>
    <font>
      <b/>
      <sz val="8"/>
      <color indexed="60"/>
      <name val="Arial"/>
      <family val="2"/>
    </font>
    <font>
      <b/>
      <sz val="8"/>
      <color indexed="28"/>
      <name val="Arial"/>
      <family val="2"/>
    </font>
    <font>
      <sz val="11"/>
      <color indexed="17"/>
      <name val="Calibri"/>
      <family val="2"/>
    </font>
    <font>
      <b/>
      <sz val="10"/>
      <name val="Tms Rmn"/>
      <family val="1"/>
    </font>
    <font>
      <b/>
      <sz val="16"/>
      <name val="Arial Narrow"/>
      <family val="2"/>
    </font>
    <font>
      <b/>
      <i/>
      <sz val="11"/>
      <name val="IQE Hlv Narrow"/>
      <family val="2"/>
    </font>
    <font>
      <i/>
      <sz val="11"/>
      <name val="IQE Hlv Narrow"/>
      <family val="2"/>
    </font>
    <font>
      <sz val="11"/>
      <name val="IQE Hlv Narrow"/>
      <family val="2"/>
    </font>
    <font>
      <b/>
      <sz val="14"/>
      <name val="IQE Hlv Narrow"/>
      <family val="2"/>
    </font>
    <font>
      <b/>
      <sz val="11"/>
      <name val="IQE Hlv Narrow"/>
      <family val="2"/>
    </font>
    <font>
      <b/>
      <u/>
      <sz val="11"/>
      <color indexed="37"/>
      <name val="Arial"/>
      <family val="2"/>
    </font>
    <font>
      <b/>
      <sz val="11"/>
      <name val="Univers (WN)"/>
      <family val="2"/>
    </font>
    <font>
      <sz val="18"/>
      <color indexed="24"/>
      <name val="Arial"/>
      <family val="2"/>
    </font>
    <font>
      <b/>
      <sz val="11"/>
      <color indexed="56"/>
      <name val="Calibri"/>
      <family val="2"/>
    </font>
    <font>
      <b/>
      <i/>
      <sz val="13"/>
      <color indexed="9"/>
      <name val="IQE Garamond I Cd"/>
      <family val="2"/>
    </font>
    <font>
      <b/>
      <sz val="12"/>
      <color indexed="8"/>
      <name val="Arial"/>
      <family val="2"/>
    </font>
    <font>
      <b/>
      <sz val="8"/>
      <name val="MS Sans Serif"/>
      <family val="2"/>
    </font>
    <font>
      <sz val="12"/>
      <name val="Arial Narrow"/>
      <family val="2"/>
    </font>
    <font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1"/>
      <color indexed="9"/>
      <name val="Arial"/>
      <family val="2"/>
    </font>
    <font>
      <sz val="10"/>
      <color indexed="6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0"/>
      <color indexed="12"/>
      <name val="Trebuchet MS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12"/>
      <color indexed="60"/>
      <name val="Arial"/>
      <family val="2"/>
    </font>
    <font>
      <i/>
      <sz val="10"/>
      <name val="Times New Roman"/>
      <family val="1"/>
    </font>
    <font>
      <u/>
      <sz val="10"/>
      <color indexed="12"/>
      <name val="Arial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8"/>
      <name val="Univers"/>
      <family val="2"/>
    </font>
    <font>
      <b/>
      <i/>
      <sz val="16"/>
      <name val="Helv"/>
      <family val="2"/>
    </font>
    <font>
      <sz val="10"/>
      <name val="Tms Rmn"/>
      <family val="1"/>
    </font>
    <font>
      <i/>
      <sz val="9"/>
      <name val="Times New Roman"/>
      <family val="1"/>
    </font>
    <font>
      <sz val="10"/>
      <color indexed="14"/>
      <name val="Arial"/>
      <family val="2"/>
    </font>
    <font>
      <sz val="12"/>
      <color indexed="14"/>
      <name val="Times New Roman"/>
      <family val="1"/>
    </font>
    <font>
      <b/>
      <sz val="11"/>
      <color indexed="63"/>
      <name val="Calibri"/>
      <family val="2"/>
    </font>
    <font>
      <sz val="10"/>
      <color indexed="16"/>
      <name val="Helvetica-Black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  <family val="2"/>
    </font>
    <font>
      <b/>
      <sz val="13"/>
      <name val="Arial"/>
      <family val="2"/>
    </font>
    <font>
      <sz val="8"/>
      <name val="MS Sans Serif"/>
      <family val="2"/>
    </font>
    <font>
      <sz val="18"/>
      <name val="Times New Roman"/>
      <family val="1"/>
    </font>
    <font>
      <sz val="10"/>
      <name val="Helvetica 45 Light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9"/>
      <name val="SwitzerlandNarrow"/>
      <family val="2"/>
    </font>
    <font>
      <sz val="9"/>
      <color indexed="12"/>
      <name val="SwitzerlandNarrow"/>
      <family val="2"/>
    </font>
    <font>
      <b/>
      <sz val="9"/>
      <name val="Palatino"/>
      <family val="1"/>
    </font>
    <font>
      <sz val="9"/>
      <color indexed="21"/>
      <name val="Helvetica-Black"/>
      <family val="2"/>
    </font>
    <font>
      <b/>
      <sz val="11"/>
      <name val="Times New Roman"/>
      <family val="1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b/>
      <u/>
      <sz val="12"/>
      <name val="Arial"/>
      <family val="2"/>
    </font>
    <font>
      <b/>
      <sz val="18"/>
      <color indexed="56"/>
      <name val="Cambria"/>
      <family val="1"/>
    </font>
    <font>
      <b/>
      <i/>
      <sz val="9"/>
      <name val="Arial"/>
      <family val="2"/>
    </font>
    <font>
      <i/>
      <sz val="9"/>
      <name val="Arial"/>
      <family val="2"/>
    </font>
    <font>
      <b/>
      <u/>
      <sz val="9.5"/>
      <color indexed="56"/>
      <name val="Arial"/>
      <family val="2"/>
    </font>
    <font>
      <b/>
      <sz val="9"/>
      <color indexed="56"/>
      <name val="Arial"/>
      <family val="2"/>
    </font>
    <font>
      <sz val="8"/>
      <color indexed="56"/>
      <name val="Arial"/>
      <family val="2"/>
    </font>
    <font>
      <sz val="7.5"/>
      <color indexed="56"/>
      <name val="Arial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sz val="10"/>
      <name val="Univers (WN)"/>
      <family val="2"/>
    </font>
    <font>
      <b/>
      <sz val="18"/>
      <name val="Arial"/>
      <family val="2"/>
    </font>
    <font>
      <u/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Times New Roman"/>
      <family val="1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i/>
      <sz val="6"/>
      <name val="Meiryo UI"/>
      <family val="3"/>
      <charset val="128"/>
    </font>
    <font>
      <sz val="6"/>
      <name val="Meiryo UI"/>
      <family val="3"/>
      <charset val="128"/>
    </font>
    <font>
      <b/>
      <sz val="10"/>
      <name val="Meiryo UI"/>
      <family val="3"/>
      <charset val="128"/>
    </font>
    <font>
      <i/>
      <sz val="10"/>
      <name val="Meiryo UI"/>
      <family val="3"/>
      <charset val="128"/>
    </font>
    <font>
      <b/>
      <sz val="10"/>
      <color theme="4"/>
      <name val="Meiryo UI"/>
      <family val="3"/>
      <charset val="128"/>
    </font>
    <font>
      <sz val="6"/>
      <name val="Tsukushi A Round Gothic Bold"/>
      <family val="3"/>
      <charset val="128"/>
    </font>
    <font>
      <sz val="11"/>
      <color rgb="FF0070C0"/>
      <name val="Meiryo UI"/>
      <family val="3"/>
      <charset val="128"/>
    </font>
    <font>
      <b/>
      <sz val="10"/>
      <color theme="1"/>
      <name val="Meiryo UI"/>
      <family val="3"/>
      <charset val="128"/>
    </font>
    <font>
      <u/>
      <sz val="10"/>
      <color rgb="FF0432FF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u/>
      <sz val="12"/>
      <name val="Meiryo UI"/>
      <family val="3"/>
      <charset val="128"/>
    </font>
    <font>
      <b/>
      <sz val="20"/>
      <color rgb="FF0066FF"/>
      <name val="Meiryo UI"/>
      <family val="3"/>
      <charset val="128"/>
    </font>
    <font>
      <sz val="9"/>
      <name val="Meiryo UI"/>
      <family val="3"/>
      <charset val="128"/>
    </font>
    <font>
      <b/>
      <sz val="14"/>
      <name val="Meiryo UI"/>
      <family val="3"/>
      <charset val="128"/>
    </font>
    <font>
      <sz val="10"/>
      <color rgb="FF0066FF"/>
      <name val="Meiryo UI"/>
      <family val="3"/>
      <charset val="128"/>
    </font>
    <font>
      <b/>
      <sz val="9.5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rgb="FF0066FF"/>
      <name val="Meiryo UI"/>
      <family val="3"/>
      <charset val="128"/>
    </font>
    <font>
      <b/>
      <sz val="9"/>
      <name val="Meiryo UI"/>
      <family val="3"/>
      <charset val="128"/>
    </font>
    <font>
      <sz val="12"/>
      <color theme="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b/>
      <sz val="10"/>
      <color rgb="FF0066FF"/>
      <name val="Meiryo UI"/>
      <family val="3"/>
      <charset val="128"/>
    </font>
    <font>
      <b/>
      <sz val="8"/>
      <name val="Meiryo UI"/>
      <family val="3"/>
      <charset val="128"/>
    </font>
    <font>
      <b/>
      <vertAlign val="subscript"/>
      <sz val="9"/>
      <name val="Meiryo UI"/>
      <family val="3"/>
      <charset val="128"/>
    </font>
    <font>
      <b/>
      <sz val="11"/>
      <color rgb="FF002060"/>
      <name val="Meiryo UI"/>
      <family val="3"/>
      <charset val="128"/>
    </font>
  </fonts>
  <fills count="9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8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darkVertical"/>
    </fill>
    <fill>
      <patternFill patternType="solid">
        <fgColor indexed="58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indexed="55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DashDot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57"/>
      </left>
      <right style="double">
        <color indexed="57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auto="1"/>
      </bottom>
      <diagonal/>
    </border>
    <border>
      <left/>
      <right style="dotted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n">
        <color indexed="64"/>
      </top>
      <bottom style="hair">
        <color indexed="64"/>
      </bottom>
      <diagonal/>
    </border>
    <border>
      <left style="thick">
        <color rgb="FFFF0000"/>
      </left>
      <right/>
      <top style="hair">
        <color indexed="64"/>
      </top>
      <bottom/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rgb="FFFF0000"/>
      </right>
      <top style="hair">
        <color indexed="64"/>
      </top>
      <bottom style="hair">
        <color indexed="64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ck">
        <color auto="1"/>
      </bottom>
      <diagonal/>
    </border>
    <border>
      <left/>
      <right style="thin">
        <color auto="1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thick">
        <color rgb="FFFF0000"/>
      </right>
      <top style="medium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rgb="FFFF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medium">
        <color indexed="64"/>
      </top>
      <bottom/>
      <diagonal/>
    </border>
    <border>
      <left/>
      <right style="thick">
        <color rgb="FFFF0000"/>
      </right>
      <top style="medium">
        <color indexed="64"/>
      </top>
      <bottom/>
      <diagonal/>
    </border>
    <border>
      <left style="thick">
        <color rgb="FFFF0000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rgb="FFFF0000"/>
      </right>
      <top style="thick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/>
      <top style="medium">
        <color auto="1"/>
      </top>
      <bottom style="medium">
        <color rgb="FFFF0000"/>
      </bottom>
      <diagonal/>
    </border>
    <border>
      <left/>
      <right style="thin">
        <color auto="1"/>
      </right>
      <top style="medium">
        <color auto="1"/>
      </top>
      <bottom style="medium">
        <color rgb="FFFF0000"/>
      </bottom>
      <diagonal/>
    </border>
    <border>
      <left/>
      <right/>
      <top style="medium">
        <color auto="1"/>
      </top>
      <bottom style="medium">
        <color rgb="FFFF0000"/>
      </bottom>
      <diagonal/>
    </border>
    <border>
      <left/>
      <right style="thick">
        <color rgb="FFFF0000"/>
      </right>
      <top style="medium">
        <color auto="1"/>
      </top>
      <bottom style="medium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5">
    <xf numFmtId="0" fontId="0" fillId="0" borderId="0"/>
    <xf numFmtId="181" fontId="5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37" fontId="14" fillId="0" borderId="0"/>
    <xf numFmtId="37" fontId="2" fillId="0" borderId="0" applyNumberFormat="0"/>
    <xf numFmtId="186" fontId="14" fillId="0" borderId="0" applyFont="0" applyFill="0" applyBorder="0" applyAlignment="0" applyProtection="0"/>
    <xf numFmtId="9" fontId="15" fillId="0" borderId="6">
      <alignment horizontal="center"/>
    </xf>
    <xf numFmtId="9" fontId="15" fillId="0" borderId="6">
      <alignment horizontal="center"/>
    </xf>
    <xf numFmtId="10" fontId="15" fillId="0" borderId="6">
      <alignment horizontal="center"/>
    </xf>
    <xf numFmtId="187" fontId="3" fillId="0" borderId="0" applyFill="0" applyBorder="0"/>
    <xf numFmtId="188" fontId="3" fillId="0" borderId="0" applyFill="0" applyBorder="0"/>
    <xf numFmtId="189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9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/>
    <xf numFmtId="189" fontId="2" fillId="0" borderId="0">
      <alignment horizontal="left" wrapText="1"/>
    </xf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2" fillId="0" borderId="0"/>
    <xf numFmtId="0" fontId="2" fillId="0" borderId="0" applyFont="0" applyFill="0" applyBorder="0" applyAlignment="0" applyProtection="0"/>
    <xf numFmtId="189" fontId="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0" fontId="16" fillId="0" borderId="0"/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189" fontId="2" fillId="0" borderId="0">
      <alignment horizontal="left" wrapText="1"/>
    </xf>
    <xf numFmtId="0" fontId="17" fillId="0" borderId="0" applyNumberFormat="0" applyFill="0" applyBorder="0" applyAlignment="0" applyProtection="0"/>
    <xf numFmtId="0" fontId="2" fillId="0" borderId="0"/>
    <xf numFmtId="190" fontId="2" fillId="0" borderId="0" applyBorder="0"/>
    <xf numFmtId="37" fontId="14" fillId="0" borderId="0" applyFont="0" applyFill="0" applyBorder="0" applyAlignment="0" applyProtection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91" fontId="2" fillId="0" borderId="0" applyBorder="0"/>
    <xf numFmtId="176" fontId="2" fillId="0" borderId="0" applyBorder="0"/>
    <xf numFmtId="0" fontId="2" fillId="0" borderId="0" applyBorder="0"/>
    <xf numFmtId="0" fontId="18" fillId="37" borderId="0" applyNumberFormat="0" applyBorder="0" applyAlignment="0" applyProtection="0"/>
    <xf numFmtId="0" fontId="19" fillId="13" borderId="0" applyNumberFormat="0" applyBorder="0" applyAlignment="0" applyProtection="0"/>
    <xf numFmtId="0" fontId="18" fillId="38" borderId="0" applyNumberFormat="0" applyBorder="0" applyAlignment="0" applyProtection="0"/>
    <xf numFmtId="0" fontId="19" fillId="17" borderId="0" applyNumberFormat="0" applyBorder="0" applyAlignment="0" applyProtection="0"/>
    <xf numFmtId="0" fontId="18" fillId="39" borderId="0" applyNumberFormat="0" applyBorder="0" applyAlignment="0" applyProtection="0"/>
    <xf numFmtId="0" fontId="19" fillId="21" borderId="0" applyNumberFormat="0" applyBorder="0" applyAlignment="0" applyProtection="0"/>
    <xf numFmtId="0" fontId="18" fillId="40" borderId="0" applyNumberFormat="0" applyBorder="0" applyAlignment="0" applyProtection="0"/>
    <xf numFmtId="0" fontId="19" fillId="25" borderId="0" applyNumberFormat="0" applyBorder="0" applyAlignment="0" applyProtection="0"/>
    <xf numFmtId="0" fontId="18" fillId="41" borderId="0" applyNumberFormat="0" applyBorder="0" applyAlignment="0" applyProtection="0"/>
    <xf numFmtId="0" fontId="19" fillId="29" borderId="0" applyNumberFormat="0" applyBorder="0" applyAlignment="0" applyProtection="0"/>
    <xf numFmtId="0" fontId="18" fillId="42" borderId="0" applyNumberFormat="0" applyBorder="0" applyAlignment="0" applyProtection="0"/>
    <xf numFmtId="0" fontId="19" fillId="33" borderId="0" applyNumberFormat="0" applyBorder="0" applyAlignment="0" applyProtection="0"/>
    <xf numFmtId="0" fontId="20" fillId="37" borderId="0" applyNumberFormat="0" applyBorder="0" applyAlignment="0" applyProtection="0">
      <alignment vertical="center"/>
    </xf>
    <xf numFmtId="0" fontId="19" fillId="13" borderId="0" applyNumberFormat="0" applyBorder="0" applyAlignment="0" applyProtection="0"/>
    <xf numFmtId="0" fontId="20" fillId="38" borderId="0" applyNumberFormat="0" applyBorder="0" applyAlignment="0" applyProtection="0">
      <alignment vertical="center"/>
    </xf>
    <xf numFmtId="0" fontId="19" fillId="17" borderId="0" applyNumberFormat="0" applyBorder="0" applyAlignment="0" applyProtection="0"/>
    <xf numFmtId="0" fontId="20" fillId="39" borderId="0" applyNumberFormat="0" applyBorder="0" applyAlignment="0" applyProtection="0">
      <alignment vertical="center"/>
    </xf>
    <xf numFmtId="0" fontId="19" fillId="21" borderId="0" applyNumberFormat="0" applyBorder="0" applyAlignment="0" applyProtection="0"/>
    <xf numFmtId="0" fontId="20" fillId="40" borderId="0" applyNumberFormat="0" applyBorder="0" applyAlignment="0" applyProtection="0">
      <alignment vertical="center"/>
    </xf>
    <xf numFmtId="0" fontId="19" fillId="25" borderId="0" applyNumberFormat="0" applyBorder="0" applyAlignment="0" applyProtection="0"/>
    <xf numFmtId="0" fontId="20" fillId="41" borderId="0" applyNumberFormat="0" applyBorder="0" applyAlignment="0" applyProtection="0">
      <alignment vertical="center"/>
    </xf>
    <xf numFmtId="0" fontId="19" fillId="29" borderId="0" applyNumberFormat="0" applyBorder="0" applyAlignment="0" applyProtection="0"/>
    <xf numFmtId="0" fontId="20" fillId="42" borderId="0" applyNumberFormat="0" applyBorder="0" applyAlignment="0" applyProtection="0">
      <alignment vertical="center"/>
    </xf>
    <xf numFmtId="0" fontId="19" fillId="33" borderId="0" applyNumberFormat="0" applyBorder="0" applyAlignment="0" applyProtection="0"/>
    <xf numFmtId="0" fontId="18" fillId="43" borderId="0" applyNumberFormat="0" applyBorder="0" applyAlignment="0" applyProtection="0"/>
    <xf numFmtId="0" fontId="19" fillId="14" borderId="0" applyNumberFormat="0" applyBorder="0" applyAlignment="0" applyProtection="0"/>
    <xf numFmtId="0" fontId="18" fillId="44" borderId="0" applyNumberFormat="0" applyBorder="0" applyAlignment="0" applyProtection="0"/>
    <xf numFmtId="0" fontId="19" fillId="18" borderId="0" applyNumberFormat="0" applyBorder="0" applyAlignment="0" applyProtection="0"/>
    <xf numFmtId="0" fontId="18" fillId="45" borderId="0" applyNumberFormat="0" applyBorder="0" applyAlignment="0" applyProtection="0"/>
    <xf numFmtId="0" fontId="19" fillId="22" borderId="0" applyNumberFormat="0" applyBorder="0" applyAlignment="0" applyProtection="0"/>
    <xf numFmtId="0" fontId="18" fillId="40" borderId="0" applyNumberFormat="0" applyBorder="0" applyAlignment="0" applyProtection="0"/>
    <xf numFmtId="0" fontId="19" fillId="26" borderId="0" applyNumberFormat="0" applyBorder="0" applyAlignment="0" applyProtection="0"/>
    <xf numFmtId="0" fontId="18" fillId="43" borderId="0" applyNumberFormat="0" applyBorder="0" applyAlignment="0" applyProtection="0"/>
    <xf numFmtId="0" fontId="19" fillId="30" borderId="0" applyNumberFormat="0" applyBorder="0" applyAlignment="0" applyProtection="0"/>
    <xf numFmtId="0" fontId="18" fillId="46" borderId="0" applyNumberFormat="0" applyBorder="0" applyAlignment="0" applyProtection="0"/>
    <xf numFmtId="0" fontId="19" fillId="34" borderId="0" applyNumberFormat="0" applyBorder="0" applyAlignment="0" applyProtection="0"/>
    <xf numFmtId="0" fontId="20" fillId="43" borderId="0" applyNumberFormat="0" applyBorder="0" applyAlignment="0" applyProtection="0">
      <alignment vertical="center"/>
    </xf>
    <xf numFmtId="0" fontId="19" fillId="14" borderId="0" applyNumberFormat="0" applyBorder="0" applyAlignment="0" applyProtection="0"/>
    <xf numFmtId="0" fontId="20" fillId="44" borderId="0" applyNumberFormat="0" applyBorder="0" applyAlignment="0" applyProtection="0">
      <alignment vertical="center"/>
    </xf>
    <xf numFmtId="0" fontId="19" fillId="18" borderId="0" applyNumberFormat="0" applyBorder="0" applyAlignment="0" applyProtection="0"/>
    <xf numFmtId="0" fontId="20" fillId="45" borderId="0" applyNumberFormat="0" applyBorder="0" applyAlignment="0" applyProtection="0">
      <alignment vertical="center"/>
    </xf>
    <xf numFmtId="0" fontId="19" fillId="22" borderId="0" applyNumberFormat="0" applyBorder="0" applyAlignment="0" applyProtection="0"/>
    <xf numFmtId="0" fontId="20" fillId="40" borderId="0" applyNumberFormat="0" applyBorder="0" applyAlignment="0" applyProtection="0">
      <alignment vertical="center"/>
    </xf>
    <xf numFmtId="0" fontId="19" fillId="26" borderId="0" applyNumberFormat="0" applyBorder="0" applyAlignment="0" applyProtection="0"/>
    <xf numFmtId="0" fontId="20" fillId="43" borderId="0" applyNumberFormat="0" applyBorder="0" applyAlignment="0" applyProtection="0">
      <alignment vertical="center"/>
    </xf>
    <xf numFmtId="0" fontId="19" fillId="30" borderId="0" applyNumberFormat="0" applyBorder="0" applyAlignment="0" applyProtection="0"/>
    <xf numFmtId="0" fontId="20" fillId="46" borderId="0" applyNumberFormat="0" applyBorder="0" applyAlignment="0" applyProtection="0">
      <alignment vertical="center"/>
    </xf>
    <xf numFmtId="0" fontId="19" fillId="34" borderId="0" applyNumberFormat="0" applyBorder="0" applyAlignment="0" applyProtection="0"/>
    <xf numFmtId="0" fontId="21" fillId="47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50" borderId="0" applyNumberFormat="0" applyBorder="0" applyAlignment="0" applyProtection="0"/>
    <xf numFmtId="0" fontId="22" fillId="47" borderId="0" applyNumberFormat="0" applyBorder="0" applyAlignment="0" applyProtection="0">
      <alignment vertical="center"/>
    </xf>
    <xf numFmtId="0" fontId="23" fillId="15" borderId="0" applyNumberFormat="0" applyBorder="0" applyAlignment="0" applyProtection="0"/>
    <xf numFmtId="0" fontId="22" fillId="44" borderId="0" applyNumberFormat="0" applyBorder="0" applyAlignment="0" applyProtection="0">
      <alignment vertical="center"/>
    </xf>
    <xf numFmtId="0" fontId="23" fillId="19" borderId="0" applyNumberFormat="0" applyBorder="0" applyAlignment="0" applyProtection="0"/>
    <xf numFmtId="0" fontId="22" fillId="45" borderId="0" applyNumberFormat="0" applyBorder="0" applyAlignment="0" applyProtection="0">
      <alignment vertical="center"/>
    </xf>
    <xf numFmtId="0" fontId="23" fillId="23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3" fillId="27" borderId="0" applyNumberFormat="0" applyBorder="0" applyAlignment="0" applyProtection="0"/>
    <xf numFmtId="0" fontId="22" fillId="49" borderId="0" applyNumberFormat="0" applyBorder="0" applyAlignment="0" applyProtection="0">
      <alignment vertical="center"/>
    </xf>
    <xf numFmtId="0" fontId="23" fillId="31" borderId="0" applyNumberFormat="0" applyBorder="0" applyAlignment="0" applyProtection="0"/>
    <xf numFmtId="0" fontId="22" fillId="50" borderId="0" applyNumberFormat="0" applyBorder="0" applyAlignment="0" applyProtection="0">
      <alignment vertical="center"/>
    </xf>
    <xf numFmtId="0" fontId="23" fillId="35" borderId="0" applyNumberFormat="0" applyBorder="0" applyAlignment="0" applyProtection="0"/>
    <xf numFmtId="0" fontId="24" fillId="51" borderId="15" applyNumberFormat="0" applyBorder="0" applyProtection="0">
      <alignment horizontal="left" vertical="center"/>
    </xf>
    <xf numFmtId="0" fontId="25" fillId="52" borderId="0" applyNumberFormat="0" applyBorder="0" applyAlignment="0" applyProtection="0"/>
    <xf numFmtId="0" fontId="26" fillId="53" borderId="0" applyNumberFormat="0" applyBorder="0" applyAlignment="0" applyProtection="0"/>
    <xf numFmtId="0" fontId="21" fillId="54" borderId="0" applyNumberFormat="0" applyBorder="0" applyAlignment="0" applyProtection="0"/>
    <xf numFmtId="0" fontId="21" fillId="55" borderId="0" applyNumberFormat="0" applyBorder="0" applyAlignment="0" applyProtection="0"/>
    <xf numFmtId="0" fontId="21" fillId="56" borderId="0" applyNumberFormat="0" applyBorder="0" applyAlignment="0" applyProtection="0"/>
    <xf numFmtId="0" fontId="21" fillId="48" borderId="0" applyNumberFormat="0" applyBorder="0" applyAlignment="0" applyProtection="0"/>
    <xf numFmtId="0" fontId="21" fillId="49" borderId="0" applyNumberFormat="0" applyBorder="0" applyAlignment="0" applyProtection="0"/>
    <xf numFmtId="0" fontId="21" fillId="57" borderId="0" applyNumberFormat="0" applyBorder="0" applyAlignment="0" applyProtection="0"/>
    <xf numFmtId="176" fontId="2" fillId="58" borderId="36">
      <alignment horizontal="center" vertical="center"/>
    </xf>
    <xf numFmtId="189" fontId="2" fillId="0" borderId="0">
      <alignment horizontal="left" wrapText="1"/>
    </xf>
    <xf numFmtId="0" fontId="27" fillId="0" borderId="0">
      <alignment horizontal="center" wrapText="1"/>
      <protection locked="0"/>
    </xf>
    <xf numFmtId="192" fontId="28" fillId="0" borderId="37">
      <alignment horizontal="center" vertical="center"/>
      <protection locked="0"/>
    </xf>
    <xf numFmtId="193" fontId="28" fillId="0" borderId="37">
      <alignment horizontal="center" vertical="center"/>
      <protection locked="0"/>
    </xf>
    <xf numFmtId="194" fontId="28" fillId="0" borderId="37">
      <alignment horizontal="center" vertical="center"/>
      <protection locked="0"/>
    </xf>
    <xf numFmtId="195" fontId="28" fillId="0" borderId="37">
      <alignment horizontal="center" vertical="center"/>
      <protection locked="0"/>
    </xf>
    <xf numFmtId="196" fontId="28" fillId="0" borderId="37">
      <alignment horizontal="center" vertical="center"/>
      <protection locked="0"/>
    </xf>
    <xf numFmtId="0" fontId="28" fillId="0" borderId="37">
      <alignment horizontal="center" vertical="center"/>
      <protection locked="0"/>
    </xf>
    <xf numFmtId="197" fontId="28" fillId="0" borderId="37">
      <alignment horizontal="center" vertical="center"/>
      <protection locked="0"/>
    </xf>
    <xf numFmtId="192" fontId="29" fillId="0" borderId="37">
      <alignment horizontal="center" vertical="center"/>
      <protection locked="0"/>
    </xf>
    <xf numFmtId="14" fontId="29" fillId="0" borderId="37">
      <alignment horizontal="center" vertical="center"/>
      <protection locked="0"/>
    </xf>
    <xf numFmtId="0" fontId="30" fillId="59" borderId="0">
      <alignment vertical="center"/>
      <protection locked="0"/>
    </xf>
    <xf numFmtId="0" fontId="31" fillId="59" borderId="0">
      <alignment vertical="center"/>
      <protection locked="0"/>
    </xf>
    <xf numFmtId="0" fontId="32" fillId="59" borderId="0">
      <alignment vertical="center"/>
      <protection locked="0"/>
    </xf>
    <xf numFmtId="0" fontId="29" fillId="59" borderId="0">
      <alignment vertical="center"/>
      <protection locked="0"/>
    </xf>
    <xf numFmtId="194" fontId="29" fillId="0" borderId="37">
      <alignment horizontal="center" vertical="center"/>
      <protection locked="0"/>
    </xf>
    <xf numFmtId="195" fontId="29" fillId="0" borderId="37">
      <alignment horizontal="center" vertical="center"/>
      <protection locked="0"/>
    </xf>
    <xf numFmtId="196" fontId="29" fillId="0" borderId="37">
      <alignment horizontal="center" vertical="center"/>
      <protection locked="0"/>
    </xf>
    <xf numFmtId="0" fontId="33" fillId="59" borderId="0">
      <alignment vertical="center"/>
      <protection locked="0"/>
    </xf>
    <xf numFmtId="0" fontId="29" fillId="0" borderId="37">
      <alignment horizontal="center" vertical="center"/>
      <protection locked="0"/>
    </xf>
    <xf numFmtId="195" fontId="29" fillId="0" borderId="37">
      <alignment horizontal="center" vertical="center"/>
      <protection locked="0"/>
    </xf>
    <xf numFmtId="0" fontId="34" fillId="59" borderId="0">
      <alignment vertical="center"/>
      <protection locked="0"/>
    </xf>
    <xf numFmtId="192" fontId="35" fillId="59" borderId="0">
      <alignment horizontal="center" vertical="center"/>
      <protection locked="0"/>
    </xf>
    <xf numFmtId="14" fontId="35" fillId="59" borderId="0">
      <alignment horizontal="center" vertical="center"/>
      <protection locked="0"/>
    </xf>
    <xf numFmtId="0" fontId="36" fillId="59" borderId="0">
      <alignment vertical="center"/>
      <protection locked="0"/>
    </xf>
    <xf numFmtId="0" fontId="37" fillId="59" borderId="0">
      <alignment vertical="center"/>
      <protection locked="0"/>
    </xf>
    <xf numFmtId="0" fontId="38" fillId="59" borderId="0">
      <alignment vertical="center"/>
      <protection locked="0"/>
    </xf>
    <xf numFmtId="0" fontId="29" fillId="59" borderId="0">
      <alignment vertical="center"/>
      <protection locked="0"/>
    </xf>
    <xf numFmtId="0" fontId="35" fillId="59" borderId="0">
      <alignment horizontal="left" vertical="center"/>
      <protection locked="0"/>
    </xf>
    <xf numFmtId="194" fontId="35" fillId="59" borderId="0">
      <alignment horizontal="center" vertical="center"/>
      <protection locked="0"/>
    </xf>
    <xf numFmtId="195" fontId="35" fillId="59" borderId="0">
      <alignment horizontal="center" vertical="center"/>
      <protection locked="0"/>
    </xf>
    <xf numFmtId="196" fontId="35" fillId="59" borderId="0">
      <alignment horizontal="center" vertical="center"/>
      <protection locked="0"/>
    </xf>
    <xf numFmtId="0" fontId="35" fillId="59" borderId="0">
      <alignment horizontal="center" vertical="center"/>
      <protection locked="0"/>
    </xf>
    <xf numFmtId="197" fontId="35" fillId="59" borderId="0">
      <alignment horizontal="center" vertical="center"/>
      <protection locked="0"/>
    </xf>
    <xf numFmtId="198" fontId="3" fillId="0" borderId="38">
      <alignment horizontal="center" vertical="center"/>
      <protection locked="0"/>
    </xf>
    <xf numFmtId="199" fontId="3" fillId="0" borderId="38">
      <alignment horizontal="center" vertical="center"/>
      <protection locked="0"/>
    </xf>
    <xf numFmtId="200" fontId="3" fillId="0" borderId="38">
      <alignment horizontal="center" vertical="center"/>
      <protection locked="0"/>
    </xf>
    <xf numFmtId="201" fontId="3" fillId="0" borderId="38">
      <alignment horizontal="center" vertical="center"/>
      <protection locked="0"/>
    </xf>
    <xf numFmtId="202" fontId="3" fillId="0" borderId="38">
      <alignment horizontal="center" vertical="center"/>
      <protection locked="0"/>
    </xf>
    <xf numFmtId="203" fontId="3" fillId="0" borderId="38">
      <alignment horizontal="center" vertical="center"/>
      <protection locked="0"/>
    </xf>
    <xf numFmtId="204" fontId="28" fillId="0" borderId="37">
      <alignment vertical="center"/>
      <protection locked="0"/>
    </xf>
    <xf numFmtId="205" fontId="28" fillId="0" borderId="37">
      <alignment horizontal="right" vertical="center"/>
      <protection locked="0"/>
    </xf>
    <xf numFmtId="206" fontId="28" fillId="0" borderId="37">
      <alignment vertical="center"/>
      <protection locked="0"/>
    </xf>
    <xf numFmtId="207" fontId="28" fillId="0" borderId="37">
      <alignment horizontal="center" vertical="center"/>
      <protection locked="0"/>
    </xf>
    <xf numFmtId="208" fontId="28" fillId="0" borderId="37">
      <alignment horizontal="center" vertical="center"/>
      <protection locked="0"/>
    </xf>
    <xf numFmtId="0" fontId="28" fillId="0" borderId="37">
      <alignment vertical="center"/>
      <protection locked="0"/>
    </xf>
    <xf numFmtId="209" fontId="28" fillId="0" borderId="37">
      <alignment horizontal="right" vertical="center"/>
      <protection locked="0"/>
    </xf>
    <xf numFmtId="0" fontId="3" fillId="0" borderId="38">
      <alignment vertical="center"/>
      <protection locked="0"/>
    </xf>
    <xf numFmtId="210" fontId="28" fillId="0" borderId="37">
      <alignment horizontal="center" vertical="center"/>
      <protection locked="0"/>
    </xf>
    <xf numFmtId="199" fontId="28" fillId="0" borderId="37">
      <alignment horizontal="center" vertical="center"/>
      <protection locked="0"/>
    </xf>
    <xf numFmtId="211" fontId="28" fillId="0" borderId="37">
      <alignment horizontal="center" vertical="center"/>
      <protection locked="0"/>
    </xf>
    <xf numFmtId="190" fontId="28" fillId="0" borderId="37">
      <alignment horizontal="center" vertical="center"/>
      <protection locked="0"/>
    </xf>
    <xf numFmtId="212" fontId="28" fillId="0" borderId="37">
      <alignment horizontal="center" vertical="center"/>
      <protection locked="0"/>
    </xf>
    <xf numFmtId="0" fontId="28" fillId="0" borderId="37">
      <alignment horizontal="center" vertical="center"/>
      <protection locked="0"/>
    </xf>
    <xf numFmtId="213" fontId="28" fillId="0" borderId="37">
      <alignment horizontal="center" vertical="center"/>
      <protection locked="0"/>
    </xf>
    <xf numFmtId="198" fontId="3" fillId="0" borderId="38">
      <alignment horizontal="right" vertical="center"/>
      <protection locked="0"/>
    </xf>
    <xf numFmtId="214" fontId="3" fillId="0" borderId="38">
      <alignment horizontal="right" vertical="center"/>
      <protection locked="0"/>
    </xf>
    <xf numFmtId="200" fontId="3" fillId="0" borderId="38">
      <alignment horizontal="right" vertical="center"/>
      <protection locked="0"/>
    </xf>
    <xf numFmtId="201" fontId="3" fillId="0" borderId="38">
      <alignment horizontal="right" vertical="center"/>
      <protection locked="0"/>
    </xf>
    <xf numFmtId="202" fontId="3" fillId="0" borderId="38">
      <alignment horizontal="right" vertical="center"/>
      <protection locked="0"/>
    </xf>
    <xf numFmtId="203" fontId="3" fillId="0" borderId="38">
      <alignment horizontal="right" vertical="center"/>
      <protection locked="0"/>
    </xf>
    <xf numFmtId="0" fontId="39" fillId="0" borderId="3"/>
    <xf numFmtId="0" fontId="39" fillId="0" borderId="10">
      <alignment horizontal="center"/>
    </xf>
    <xf numFmtId="0" fontId="40" fillId="38" borderId="0" applyNumberFormat="0" applyBorder="0" applyAlignment="0" applyProtection="0"/>
    <xf numFmtId="0" fontId="41" fillId="0" borderId="0" applyFont="0" applyFill="0" applyBorder="0"/>
    <xf numFmtId="0" fontId="15" fillId="0" borderId="14"/>
    <xf numFmtId="0" fontId="15" fillId="0" borderId="14"/>
    <xf numFmtId="0" fontId="15" fillId="0" borderId="14"/>
    <xf numFmtId="0" fontId="15" fillId="0" borderId="16"/>
    <xf numFmtId="0" fontId="39" fillId="0" borderId="5">
      <alignment horizontal="left"/>
    </xf>
    <xf numFmtId="0" fontId="39" fillId="0" borderId="14"/>
    <xf numFmtId="0" fontId="39" fillId="0" borderId="14"/>
    <xf numFmtId="0" fontId="39" fillId="0" borderId="14"/>
    <xf numFmtId="0" fontId="39" fillId="0" borderId="4">
      <alignment horizontal="left"/>
    </xf>
    <xf numFmtId="0" fontId="39" fillId="0" borderId="6">
      <alignment horizontal="left"/>
    </xf>
    <xf numFmtId="0" fontId="39" fillId="0" borderId="8" applyBorder="0">
      <alignment horizontal="left"/>
    </xf>
    <xf numFmtId="9" fontId="42" fillId="0" borderId="0">
      <alignment horizontal="center"/>
    </xf>
    <xf numFmtId="0" fontId="39" fillId="0" borderId="4">
      <alignment horizontal="center"/>
    </xf>
    <xf numFmtId="0" fontId="39" fillId="0" borderId="6">
      <alignment horizontal="center"/>
    </xf>
    <xf numFmtId="0" fontId="39" fillId="0" borderId="2">
      <alignment horizontal="center"/>
    </xf>
    <xf numFmtId="0" fontId="39" fillId="0" borderId="4">
      <alignment horizontal="left"/>
    </xf>
    <xf numFmtId="0" fontId="39" fillId="0" borderId="7">
      <alignment horizontal="left"/>
    </xf>
    <xf numFmtId="0" fontId="39" fillId="0" borderId="8">
      <alignment horizontal="left"/>
    </xf>
    <xf numFmtId="0" fontId="39" fillId="0" borderId="6">
      <alignment horizontal="left"/>
    </xf>
    <xf numFmtId="0" fontId="43" fillId="0" borderId="0" applyNumberFormat="0" applyFill="0" applyBorder="0" applyAlignment="0" applyProtection="0"/>
    <xf numFmtId="0" fontId="39" fillId="0" borderId="0"/>
    <xf numFmtId="0" fontId="39" fillId="0" borderId="2">
      <alignment horizontal="center" vertical="center"/>
    </xf>
    <xf numFmtId="0" fontId="39" fillId="0" borderId="8" applyBorder="0">
      <alignment horizontal="center" vertical="justify"/>
    </xf>
    <xf numFmtId="0" fontId="27" fillId="0" borderId="39" applyNumberFormat="0" applyFont="0" applyFill="0" applyAlignment="0" applyProtection="0"/>
    <xf numFmtId="0" fontId="27" fillId="0" borderId="40" applyNumberFormat="0" applyFont="0" applyFill="0" applyAlignment="0" applyProtection="0"/>
    <xf numFmtId="0" fontId="15" fillId="0" borderId="0"/>
    <xf numFmtId="0" fontId="39" fillId="0" borderId="16"/>
    <xf numFmtId="0" fontId="39" fillId="0" borderId="7"/>
    <xf numFmtId="0" fontId="39" fillId="0" borderId="9">
      <alignment horizontal="left"/>
    </xf>
    <xf numFmtId="0" fontId="39" fillId="0" borderId="8"/>
    <xf numFmtId="0" fontId="13" fillId="0" borderId="0"/>
    <xf numFmtId="0" fontId="15" fillId="0" borderId="2">
      <alignment horizontal="center" wrapText="1"/>
    </xf>
    <xf numFmtId="215" fontId="2" fillId="0" borderId="0" applyFill="0" applyBorder="0" applyAlignment="0"/>
    <xf numFmtId="0" fontId="27" fillId="2" borderId="2">
      <alignment horizontal="center"/>
    </xf>
    <xf numFmtId="0" fontId="44" fillId="60" borderId="41" applyNumberFormat="0" applyAlignment="0" applyProtection="0"/>
    <xf numFmtId="0" fontId="44" fillId="60" borderId="41" applyNumberFormat="0" applyAlignment="0" applyProtection="0"/>
    <xf numFmtId="0" fontId="44" fillId="60" borderId="41" applyNumberFormat="0" applyAlignment="0" applyProtection="0"/>
    <xf numFmtId="0" fontId="3" fillId="0" borderId="0" applyNumberFormat="0" applyFont="0" applyFill="0" applyBorder="0">
      <alignment horizontal="center" vertical="center"/>
      <protection locked="0"/>
    </xf>
    <xf numFmtId="198" fontId="3" fillId="0" borderId="0" applyFill="0" applyBorder="0">
      <alignment horizontal="center" vertical="center"/>
    </xf>
    <xf numFmtId="199" fontId="3" fillId="0" borderId="0" applyFill="0" applyBorder="0">
      <alignment horizontal="center" vertical="center"/>
    </xf>
    <xf numFmtId="200" fontId="3" fillId="0" borderId="0" applyFill="0" applyBorder="0">
      <alignment horizontal="center" vertical="center"/>
    </xf>
    <xf numFmtId="201" fontId="3" fillId="0" borderId="0" applyFill="0" applyBorder="0">
      <alignment horizontal="center" vertical="center"/>
    </xf>
    <xf numFmtId="202" fontId="3" fillId="0" borderId="0" applyFill="0" applyBorder="0">
      <alignment horizontal="center" vertical="center"/>
    </xf>
    <xf numFmtId="203" fontId="3" fillId="0" borderId="0" applyFill="0" applyBorder="0">
      <alignment horizontal="center" vertical="center"/>
    </xf>
    <xf numFmtId="0" fontId="41" fillId="0" borderId="0"/>
    <xf numFmtId="0" fontId="45" fillId="61" borderId="42" applyNumberFormat="0" applyAlignment="0" applyProtection="0"/>
    <xf numFmtId="39" fontId="46" fillId="0" borderId="0"/>
    <xf numFmtId="1" fontId="13" fillId="62" borderId="0" applyFont="0" applyFill="0" applyBorder="0" applyAlignment="0" applyProtection="0"/>
    <xf numFmtId="216" fontId="47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ont="0" applyFill="0" applyBorder="0" applyAlignment="0" applyProtection="0">
      <alignment horizontal="right"/>
    </xf>
    <xf numFmtId="217" fontId="2" fillId="0" borderId="0" applyFont="0" applyFill="0" applyBorder="0" applyAlignment="0" applyProtection="0"/>
    <xf numFmtId="3" fontId="49" fillId="0" borderId="0" applyFont="0" applyFill="0" applyBorder="0" applyAlignment="0" applyProtection="0"/>
    <xf numFmtId="0" fontId="50" fillId="0" borderId="0"/>
    <xf numFmtId="0" fontId="51" fillId="0" borderId="0"/>
    <xf numFmtId="0" fontId="52" fillId="0" borderId="0" applyFill="0" applyBorder="0">
      <alignment vertical="center"/>
    </xf>
    <xf numFmtId="0" fontId="53" fillId="0" borderId="0" applyNumberFormat="0" applyAlignment="0">
      <alignment horizontal="left"/>
    </xf>
    <xf numFmtId="0" fontId="54" fillId="0" borderId="0" applyFill="0" applyBorder="0">
      <alignment vertical="center"/>
    </xf>
    <xf numFmtId="0" fontId="55" fillId="0" borderId="0">
      <alignment vertical="center"/>
      <protection locked="0"/>
    </xf>
    <xf numFmtId="0" fontId="29" fillId="0" borderId="0">
      <alignment vertical="center"/>
      <protection locked="0"/>
    </xf>
    <xf numFmtId="0" fontId="32" fillId="0" borderId="0">
      <alignment vertical="center"/>
      <protection locked="0"/>
    </xf>
    <xf numFmtId="0" fontId="54" fillId="0" borderId="0">
      <alignment vertical="center"/>
      <protection locked="0"/>
    </xf>
    <xf numFmtId="0" fontId="33" fillId="0" borderId="0">
      <alignment vertical="center"/>
      <protection locked="0"/>
    </xf>
    <xf numFmtId="0" fontId="3" fillId="0" borderId="0"/>
    <xf numFmtId="218" fontId="46" fillId="0" borderId="0"/>
    <xf numFmtId="219" fontId="2" fillId="0" borderId="0" applyFont="0" applyFill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48" fillId="0" borderId="0" applyFont="0" applyFill="0" applyBorder="0" applyAlignment="0" applyProtection="0">
      <alignment horizontal="right"/>
    </xf>
    <xf numFmtId="220" fontId="2" fillId="0" borderId="0" applyFont="0" applyFill="0" applyBorder="0" applyAlignment="0" applyProtection="0"/>
    <xf numFmtId="220" fontId="2" fillId="0" borderId="0" applyFont="0" applyFill="0" applyBorder="0" applyAlignment="0" applyProtection="0"/>
    <xf numFmtId="221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222" fontId="3" fillId="63" borderId="0" applyFont="0" applyFill="0" applyBorder="0" applyAlignment="0" applyProtection="0"/>
    <xf numFmtId="223" fontId="56" fillId="0" borderId="14"/>
    <xf numFmtId="223" fontId="56" fillId="0" borderId="14"/>
    <xf numFmtId="223" fontId="56" fillId="0" borderId="14"/>
    <xf numFmtId="0" fontId="48" fillId="0" borderId="0" applyFont="0" applyFill="0" applyBorder="0" applyAlignment="0" applyProtection="0"/>
    <xf numFmtId="0" fontId="57" fillId="0" borderId="0"/>
    <xf numFmtId="0" fontId="49" fillId="0" borderId="0" applyFont="0" applyFill="0" applyBorder="0" applyAlignment="0" applyProtection="0"/>
    <xf numFmtId="0" fontId="15" fillId="0" borderId="2"/>
    <xf numFmtId="0" fontId="15" fillId="0" borderId="6">
      <alignment horizontal="center"/>
    </xf>
    <xf numFmtId="0" fontId="15" fillId="0" borderId="14"/>
    <xf numFmtId="0" fontId="15" fillId="0" borderId="14"/>
    <xf numFmtId="0" fontId="15" fillId="0" borderId="14"/>
    <xf numFmtId="14" fontId="15" fillId="0" borderId="7" applyBorder="0">
      <alignment horizontal="center"/>
    </xf>
    <xf numFmtId="0" fontId="15" fillId="0" borderId="4">
      <alignment horizontal="center"/>
    </xf>
    <xf numFmtId="0" fontId="15" fillId="0" borderId="7">
      <alignment horizontal="center"/>
    </xf>
    <xf numFmtId="224" fontId="2" fillId="0" borderId="0" applyFont="0" applyFill="0" applyBorder="0" applyAlignment="0" applyProtection="0">
      <alignment wrapText="1"/>
    </xf>
    <xf numFmtId="0" fontId="3" fillId="0" borderId="0"/>
    <xf numFmtId="22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226" fontId="2" fillId="0" borderId="0" applyFont="0" applyFill="0" applyBorder="0" applyAlignment="0" applyProtection="0"/>
    <xf numFmtId="49" fontId="58" fillId="0" borderId="0"/>
    <xf numFmtId="3" fontId="2" fillId="0" borderId="43" applyNumberFormat="0" applyFont="0" applyFill="0" applyAlignment="0" applyProtection="0"/>
    <xf numFmtId="0" fontId="48" fillId="0" borderId="44" applyNumberFormat="0" applyFont="0" applyFill="0" applyAlignment="0" applyProtection="0"/>
    <xf numFmtId="0" fontId="59" fillId="0" borderId="0">
      <alignment horizontal="centerContinuous"/>
    </xf>
    <xf numFmtId="0" fontId="59" fillId="0" borderId="0"/>
    <xf numFmtId="0" fontId="59" fillId="0" borderId="0">
      <alignment horizontal="centerContinuous"/>
    </xf>
    <xf numFmtId="0" fontId="60" fillId="0" borderId="0" applyNumberFormat="0" applyAlignment="0">
      <alignment horizontal="left"/>
    </xf>
    <xf numFmtId="0" fontId="2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51" fillId="0" borderId="0"/>
    <xf numFmtId="204" fontId="28" fillId="0" borderId="37">
      <alignment horizontal="center" vertical="center"/>
      <protection locked="0"/>
    </xf>
    <xf numFmtId="227" fontId="28" fillId="0" borderId="37">
      <alignment horizontal="right" vertical="center"/>
      <protection locked="0"/>
    </xf>
    <xf numFmtId="206" fontId="28" fillId="0" borderId="37">
      <alignment horizontal="center" vertical="center"/>
      <protection locked="0"/>
    </xf>
    <xf numFmtId="207" fontId="28" fillId="0" borderId="37">
      <alignment horizontal="center" vertical="center"/>
      <protection locked="0"/>
    </xf>
    <xf numFmtId="208" fontId="28" fillId="0" borderId="37">
      <alignment horizontal="center" vertical="center"/>
      <protection locked="0"/>
    </xf>
    <xf numFmtId="0" fontId="28" fillId="0" borderId="37">
      <alignment vertical="center"/>
      <protection locked="0"/>
    </xf>
    <xf numFmtId="209" fontId="28" fillId="0" borderId="37">
      <alignment horizontal="right" vertical="center"/>
      <protection locked="0"/>
    </xf>
    <xf numFmtId="204" fontId="29" fillId="0" borderId="37">
      <alignment horizontal="center" vertical="center"/>
      <protection locked="0"/>
    </xf>
    <xf numFmtId="227" fontId="29" fillId="0" borderId="37">
      <alignment horizontal="right" vertical="center"/>
      <protection locked="0"/>
    </xf>
    <xf numFmtId="0" fontId="30" fillId="59" borderId="0">
      <alignment vertical="center"/>
      <protection locked="0"/>
    </xf>
    <xf numFmtId="0" fontId="31" fillId="59" borderId="0">
      <alignment vertical="center"/>
      <protection locked="0"/>
    </xf>
    <xf numFmtId="0" fontId="32" fillId="59" borderId="0">
      <alignment vertical="center"/>
      <protection locked="0"/>
    </xf>
    <xf numFmtId="0" fontId="29" fillId="59" borderId="0">
      <alignment vertical="center"/>
      <protection locked="0"/>
    </xf>
    <xf numFmtId="206" fontId="29" fillId="0" borderId="37">
      <alignment horizontal="center" vertical="center"/>
      <protection locked="0"/>
    </xf>
    <xf numFmtId="207" fontId="29" fillId="0" borderId="37">
      <alignment horizontal="center" vertical="center"/>
      <protection locked="0"/>
    </xf>
    <xf numFmtId="208" fontId="29" fillId="0" borderId="37">
      <alignment horizontal="center" vertical="center"/>
      <protection locked="0"/>
    </xf>
    <xf numFmtId="0" fontId="33" fillId="59" borderId="0">
      <alignment vertical="center"/>
      <protection locked="0"/>
    </xf>
    <xf numFmtId="0" fontId="29" fillId="0" borderId="37">
      <alignment vertical="center"/>
      <protection locked="0"/>
    </xf>
    <xf numFmtId="0" fontId="34" fillId="59" borderId="0">
      <alignment vertical="center"/>
      <protection locked="0"/>
    </xf>
    <xf numFmtId="204" fontId="35" fillId="59" borderId="0">
      <alignment horizontal="center" vertical="center"/>
      <protection locked="0"/>
    </xf>
    <xf numFmtId="227" fontId="35" fillId="59" borderId="0">
      <alignment horizontal="right" vertical="center"/>
      <protection locked="0"/>
    </xf>
    <xf numFmtId="0" fontId="36" fillId="59" borderId="0">
      <alignment vertical="center"/>
      <protection locked="0"/>
    </xf>
    <xf numFmtId="0" fontId="37" fillId="59" borderId="0">
      <alignment vertical="center"/>
      <protection locked="0"/>
    </xf>
    <xf numFmtId="0" fontId="38" fillId="59" borderId="0">
      <alignment vertical="center"/>
      <protection locked="0"/>
    </xf>
    <xf numFmtId="0" fontId="35" fillId="59" borderId="0">
      <alignment vertical="center"/>
      <protection locked="0"/>
    </xf>
    <xf numFmtId="0" fontId="35" fillId="59" borderId="0">
      <alignment horizontal="left" vertical="center"/>
      <protection locked="0"/>
    </xf>
    <xf numFmtId="206" fontId="35" fillId="59" borderId="0">
      <alignment horizontal="center" vertical="center"/>
      <protection locked="0"/>
    </xf>
    <xf numFmtId="207" fontId="35" fillId="59" borderId="0">
      <alignment horizontal="center" vertical="center"/>
      <protection locked="0"/>
    </xf>
    <xf numFmtId="208" fontId="35" fillId="0" borderId="0">
      <alignment horizontal="center" vertical="center"/>
      <protection locked="0"/>
    </xf>
    <xf numFmtId="0" fontId="35" fillId="59" borderId="0">
      <alignment horizontal="center" vertical="center"/>
      <protection locked="0"/>
    </xf>
    <xf numFmtId="209" fontId="35" fillId="59" borderId="0">
      <alignment horizontal="right" vertical="center"/>
      <protection locked="0"/>
    </xf>
    <xf numFmtId="2" fontId="49" fillId="0" borderId="0" applyFont="0" applyFill="0" applyBorder="0" applyAlignment="0" applyProtection="0"/>
    <xf numFmtId="228" fontId="62" fillId="0" borderId="0" applyFont="0" applyFill="0" applyBorder="0" applyAlignment="0" applyProtection="0"/>
    <xf numFmtId="0" fontId="63" fillId="0" borderId="0" applyFill="0" applyBorder="0" applyProtection="0">
      <alignment horizontal="left"/>
    </xf>
    <xf numFmtId="204" fontId="28" fillId="0" borderId="0" applyFill="0" applyBorder="0">
      <alignment horizontal="right" vertical="center"/>
    </xf>
    <xf numFmtId="205" fontId="28" fillId="0" borderId="0" applyFill="0" applyBorder="0">
      <alignment horizontal="right" vertical="center"/>
    </xf>
    <xf numFmtId="206" fontId="28" fillId="0" borderId="0" applyFill="0" applyBorder="0">
      <alignment horizontal="right" vertical="center"/>
    </xf>
    <xf numFmtId="207" fontId="28" fillId="0" borderId="0" applyFill="0" applyBorder="0">
      <alignment horizontal="center" vertical="center"/>
    </xf>
    <xf numFmtId="208" fontId="28" fillId="0" borderId="0" applyFill="0" applyBorder="0">
      <alignment horizontal="center" vertical="center"/>
    </xf>
    <xf numFmtId="0" fontId="64" fillId="0" borderId="0" applyFill="0" applyBorder="0">
      <alignment horizontal="right" vertical="center"/>
    </xf>
    <xf numFmtId="209" fontId="28" fillId="0" borderId="0" applyFill="0" applyBorder="0">
      <alignment horizontal="right" vertical="center"/>
    </xf>
    <xf numFmtId="227" fontId="65" fillId="0" borderId="0">
      <alignment horizontal="right" vertical="center"/>
      <protection locked="0"/>
    </xf>
    <xf numFmtId="229" fontId="29" fillId="0" borderId="0">
      <alignment horizontal="center" vertical="center"/>
      <protection locked="0"/>
    </xf>
    <xf numFmtId="0" fontId="30" fillId="0" borderId="0">
      <alignment vertical="center"/>
      <protection locked="0"/>
    </xf>
    <xf numFmtId="0" fontId="31" fillId="0" borderId="0">
      <alignment vertical="center"/>
      <protection locked="0"/>
    </xf>
    <xf numFmtId="0" fontId="32" fillId="0" borderId="0">
      <alignment vertical="center"/>
      <protection locked="0"/>
    </xf>
    <xf numFmtId="0" fontId="29" fillId="0" borderId="0">
      <alignment vertical="center"/>
      <protection locked="0"/>
    </xf>
    <xf numFmtId="230" fontId="29" fillId="0" borderId="0">
      <alignment horizontal="center" vertical="center"/>
      <protection locked="0"/>
    </xf>
    <xf numFmtId="231" fontId="29" fillId="0" borderId="0">
      <alignment horizontal="center" vertical="center"/>
      <protection locked="0"/>
    </xf>
    <xf numFmtId="232" fontId="29" fillId="0" borderId="0">
      <alignment horizontal="center" vertical="center"/>
      <protection locked="0"/>
    </xf>
    <xf numFmtId="0" fontId="33" fillId="0" borderId="0">
      <alignment vertical="center"/>
      <protection locked="0"/>
    </xf>
    <xf numFmtId="0" fontId="34" fillId="0" borderId="0">
      <alignment vertical="center"/>
      <protection locked="0"/>
    </xf>
    <xf numFmtId="204" fontId="35" fillId="0" borderId="0">
      <alignment horizontal="center" vertical="center"/>
      <protection locked="0"/>
    </xf>
    <xf numFmtId="227" fontId="35" fillId="0" borderId="0">
      <alignment horizontal="right" vertical="center"/>
      <protection locked="0"/>
    </xf>
    <xf numFmtId="0" fontId="36" fillId="0" borderId="0">
      <alignment vertical="center"/>
      <protection locked="0"/>
    </xf>
    <xf numFmtId="0" fontId="37" fillId="0" borderId="0">
      <alignment vertical="center"/>
      <protection locked="0"/>
    </xf>
    <xf numFmtId="0" fontId="38" fillId="0" borderId="0">
      <alignment vertical="center"/>
      <protection locked="0"/>
    </xf>
    <xf numFmtId="0" fontId="35" fillId="0" borderId="0">
      <alignment vertical="center"/>
      <protection locked="0"/>
    </xf>
    <xf numFmtId="206" fontId="35" fillId="0" borderId="0">
      <alignment horizontal="center" vertical="center"/>
      <protection locked="0"/>
    </xf>
    <xf numFmtId="207" fontId="35" fillId="0" borderId="0">
      <alignment horizontal="center" vertical="center"/>
      <protection locked="0"/>
    </xf>
    <xf numFmtId="208" fontId="35" fillId="0" borderId="0">
      <alignment horizontal="center" vertical="center"/>
      <protection locked="0"/>
    </xf>
    <xf numFmtId="0" fontId="38" fillId="0" borderId="0">
      <alignment horizontal="right" vertical="center"/>
      <protection locked="0"/>
    </xf>
    <xf numFmtId="209" fontId="35" fillId="0" borderId="0">
      <alignment horizontal="right" vertical="center"/>
      <protection locked="0"/>
    </xf>
    <xf numFmtId="192" fontId="35" fillId="0" borderId="0">
      <alignment horizontal="center" vertical="center"/>
      <protection locked="0"/>
    </xf>
    <xf numFmtId="14" fontId="35" fillId="0" borderId="0">
      <alignment horizontal="center" vertical="center"/>
      <protection locked="0"/>
    </xf>
    <xf numFmtId="194" fontId="35" fillId="0" borderId="0">
      <alignment horizontal="center" vertical="center"/>
      <protection locked="0"/>
    </xf>
    <xf numFmtId="195" fontId="35" fillId="0" borderId="0">
      <alignment horizontal="center" vertical="center"/>
      <protection locked="0"/>
    </xf>
    <xf numFmtId="196" fontId="35" fillId="0" borderId="0">
      <alignment horizontal="center" vertical="center"/>
      <protection locked="0"/>
    </xf>
    <xf numFmtId="0" fontId="35" fillId="0" borderId="0">
      <alignment horizontal="center" vertical="center"/>
      <protection locked="0"/>
    </xf>
    <xf numFmtId="0" fontId="41" fillId="4" borderId="45" applyFont="0" applyFill="0" applyBorder="0" applyProtection="0">
      <alignment horizontal="center"/>
    </xf>
    <xf numFmtId="0" fontId="66" fillId="39" borderId="0" applyNumberFormat="0" applyBorder="0" applyAlignment="0" applyProtection="0"/>
    <xf numFmtId="0" fontId="67" fillId="0" borderId="46"/>
    <xf numFmtId="233" fontId="57" fillId="0" borderId="35"/>
    <xf numFmtId="38" fontId="3" fillId="64" borderId="0" applyNumberFormat="0" applyBorder="0" applyAlignment="0" applyProtection="0"/>
    <xf numFmtId="0" fontId="48" fillId="0" borderId="0" applyFont="0" applyFill="0" applyBorder="0" applyAlignment="0" applyProtection="0">
      <alignment horizontal="right"/>
    </xf>
    <xf numFmtId="0" fontId="68" fillId="0" borderId="0"/>
    <xf numFmtId="0" fontId="69" fillId="0" borderId="14">
      <alignment horizontal="left"/>
    </xf>
    <xf numFmtId="0" fontId="70" fillId="0" borderId="0">
      <alignment horizontal="right"/>
    </xf>
    <xf numFmtId="37" fontId="71" fillId="0" borderId="0">
      <alignment horizontal="right"/>
    </xf>
    <xf numFmtId="0" fontId="72" fillId="0" borderId="0">
      <alignment horizontal="left"/>
    </xf>
    <xf numFmtId="37" fontId="73" fillId="0" borderId="0">
      <alignment horizontal="right"/>
    </xf>
    <xf numFmtId="0" fontId="74" fillId="0" borderId="0" applyNumberFormat="0" applyFill="0" applyBorder="0" applyAlignment="0" applyProtection="0"/>
    <xf numFmtId="0" fontId="9" fillId="0" borderId="12" applyNumberFormat="0" applyAlignment="0" applyProtection="0">
      <alignment horizontal="left" vertical="center"/>
    </xf>
    <xf numFmtId="0" fontId="9" fillId="0" borderId="16">
      <alignment horizontal="left" vertical="center"/>
    </xf>
    <xf numFmtId="38" fontId="75" fillId="0" borderId="0">
      <alignment horizontal="centerContinuous"/>
    </xf>
    <xf numFmtId="0" fontId="7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77" fillId="0" borderId="47" applyNumberFormat="0" applyFill="0" applyAlignment="0" applyProtection="0"/>
    <xf numFmtId="0" fontId="77" fillId="0" borderId="0" applyNumberFormat="0" applyFill="0" applyBorder="0" applyAlignment="0" applyProtection="0"/>
    <xf numFmtId="0" fontId="78" fillId="51" borderId="0"/>
    <xf numFmtId="234" fontId="2" fillId="0" borderId="0">
      <protection locked="0"/>
    </xf>
    <xf numFmtId="234" fontId="2" fillId="0" borderId="0">
      <protection locked="0"/>
    </xf>
    <xf numFmtId="0" fontId="79" fillId="0" borderId="0"/>
    <xf numFmtId="0" fontId="12" fillId="0" borderId="0">
      <alignment horizontal="left"/>
    </xf>
    <xf numFmtId="0" fontId="80" fillId="0" borderId="39">
      <alignment horizontal="center"/>
    </xf>
    <xf numFmtId="0" fontId="80" fillId="0" borderId="0">
      <alignment horizontal="center"/>
    </xf>
    <xf numFmtId="235" fontId="26" fillId="0" borderId="0" applyAlignment="0">
      <alignment horizontal="right"/>
      <protection hidden="1"/>
    </xf>
    <xf numFmtId="0" fontId="81" fillId="0" borderId="14" applyNumberFormat="0" applyFont="0"/>
    <xf numFmtId="0" fontId="81" fillId="0" borderId="14" applyNumberFormat="0" applyFont="0"/>
    <xf numFmtId="0" fontId="81" fillId="0" borderId="14" applyNumberFormat="0" applyFont="0"/>
    <xf numFmtId="0" fontId="82" fillId="0" borderId="48" applyNumberFormat="0" applyFill="0" applyAlignment="0" applyProtection="0"/>
    <xf numFmtId="0" fontId="82" fillId="3" borderId="0" applyBorder="0"/>
    <xf numFmtId="1" fontId="2" fillId="3" borderId="0" applyBorder="0" applyAlignment="0" applyProtection="0"/>
    <xf numFmtId="0" fontId="82" fillId="3" borderId="0" applyBorder="0" applyProtection="0"/>
    <xf numFmtId="10" fontId="2" fillId="3" borderId="0" applyBorder="0" applyProtection="0"/>
    <xf numFmtId="236" fontId="2" fillId="3" borderId="49" applyBorder="0" applyProtection="0"/>
    <xf numFmtId="0" fontId="2" fillId="0" borderId="0" applyFill="0" applyBorder="0" applyAlignment="0"/>
    <xf numFmtId="237" fontId="2" fillId="0" borderId="0" applyFill="0" applyBorder="0"/>
    <xf numFmtId="238" fontId="7" fillId="0" borderId="0" applyFill="0" applyBorder="0"/>
    <xf numFmtId="237" fontId="2" fillId="0" borderId="19"/>
    <xf numFmtId="237" fontId="2" fillId="0" borderId="19"/>
    <xf numFmtId="237" fontId="2" fillId="0" borderId="19"/>
    <xf numFmtId="0" fontId="83" fillId="65" borderId="0"/>
    <xf numFmtId="0" fontId="26" fillId="65" borderId="0"/>
    <xf numFmtId="0" fontId="83" fillId="65" borderId="0"/>
    <xf numFmtId="0" fontId="84" fillId="65" borderId="0"/>
    <xf numFmtId="0" fontId="2" fillId="0" borderId="0" applyFill="0" applyBorder="0"/>
    <xf numFmtId="0" fontId="2" fillId="0" borderId="49" applyFill="0" applyBorder="0"/>
    <xf numFmtId="0" fontId="7" fillId="0" borderId="0" applyFill="0" applyBorder="0"/>
    <xf numFmtId="3" fontId="2" fillId="0" borderId="49" applyFill="0" applyBorder="0"/>
    <xf numFmtId="0" fontId="2" fillId="0" borderId="49" applyFont="0" applyBorder="0">
      <alignment horizontal="right"/>
    </xf>
    <xf numFmtId="236" fontId="2" fillId="0" borderId="0" applyFill="0" applyBorder="0"/>
    <xf numFmtId="239" fontId="2" fillId="0" borderId="0" applyFont="0" applyFill="0" applyBorder="0"/>
    <xf numFmtId="0" fontId="85" fillId="3" borderId="34" applyBorder="0"/>
    <xf numFmtId="0" fontId="86" fillId="0" borderId="0" applyFill="0" applyBorder="0">
      <alignment horizontal="center" vertical="center"/>
      <protection locked="0"/>
    </xf>
    <xf numFmtId="0" fontId="86" fillId="0" borderId="0" applyFill="0" applyBorder="0">
      <alignment horizontal="center" vertical="center"/>
      <protection locked="0"/>
    </xf>
    <xf numFmtId="0" fontId="87" fillId="0" borderId="0" applyFill="0" applyBorder="0">
      <alignment horizontal="left" vertical="center"/>
      <protection locked="0"/>
    </xf>
    <xf numFmtId="240" fontId="2" fillId="63" borderId="0" applyFont="0" applyBorder="0">
      <alignment horizontal="right"/>
    </xf>
    <xf numFmtId="3" fontId="26" fillId="66" borderId="0"/>
    <xf numFmtId="177" fontId="26" fillId="66" borderId="0"/>
    <xf numFmtId="15" fontId="26" fillId="66" borderId="0"/>
    <xf numFmtId="241" fontId="88" fillId="0" borderId="0"/>
    <xf numFmtId="10" fontId="3" fillId="63" borderId="2" applyNumberFormat="0" applyBorder="0" applyAlignment="0" applyProtection="0"/>
    <xf numFmtId="0" fontId="52" fillId="0" borderId="0" applyFill="0" applyBorder="0">
      <alignment vertical="center"/>
    </xf>
    <xf numFmtId="229" fontId="28" fillId="0" borderId="0" applyFill="0" applyBorder="0">
      <alignment horizontal="center" vertical="center"/>
    </xf>
    <xf numFmtId="227" fontId="28" fillId="0" borderId="0" applyFill="0" applyBorder="0">
      <alignment horizontal="right" vertical="center"/>
    </xf>
    <xf numFmtId="230" fontId="28" fillId="0" borderId="0" applyFill="0" applyBorder="0">
      <alignment horizontal="center" vertical="center"/>
    </xf>
    <xf numFmtId="231" fontId="28" fillId="0" borderId="0" applyFill="0" applyBorder="0">
      <alignment horizontal="center" vertical="center"/>
    </xf>
    <xf numFmtId="232" fontId="28" fillId="0" borderId="0" applyFill="0" applyBorder="0">
      <alignment horizontal="center" vertical="center"/>
    </xf>
    <xf numFmtId="209" fontId="28" fillId="0" borderId="0" applyFill="0" applyBorder="0">
      <alignment horizontal="right" vertical="center"/>
    </xf>
    <xf numFmtId="0" fontId="89" fillId="0" borderId="0" applyFill="0" applyBorder="0">
      <alignment vertical="center"/>
    </xf>
    <xf numFmtId="0" fontId="90" fillId="0" borderId="0" applyFill="0" applyBorder="0">
      <alignment vertical="center"/>
    </xf>
    <xf numFmtId="0" fontId="64" fillId="0" borderId="0" applyFill="0" applyBorder="0">
      <alignment vertical="center"/>
    </xf>
    <xf numFmtId="0" fontId="28" fillId="0" borderId="0" applyFill="0" applyBorder="0">
      <alignment vertical="center"/>
    </xf>
    <xf numFmtId="0" fontId="27" fillId="67" borderId="2">
      <alignment horizontal="center"/>
    </xf>
    <xf numFmtId="192" fontId="28" fillId="0" borderId="0" applyFill="0" applyBorder="0">
      <alignment horizontal="center" vertical="center"/>
    </xf>
    <xf numFmtId="193" fontId="28" fillId="0" borderId="0" applyFill="0" applyBorder="0">
      <alignment horizontal="center" vertical="center"/>
    </xf>
    <xf numFmtId="194" fontId="28" fillId="0" borderId="0" applyFill="0" applyBorder="0">
      <alignment horizontal="center" vertical="center"/>
    </xf>
    <xf numFmtId="195" fontId="28" fillId="0" borderId="0" applyFill="0" applyBorder="0">
      <alignment horizontal="center" vertical="center"/>
    </xf>
    <xf numFmtId="196" fontId="28" fillId="0" borderId="0" applyFill="0" applyBorder="0">
      <alignment horizontal="center" vertical="center"/>
    </xf>
    <xf numFmtId="0" fontId="28" fillId="0" borderId="0" applyFill="0" applyBorder="0">
      <alignment horizontal="center" vertical="center"/>
    </xf>
    <xf numFmtId="197" fontId="28" fillId="0" borderId="0" applyFill="0" applyBorder="0">
      <alignment horizontal="center" vertical="center"/>
    </xf>
    <xf numFmtId="0" fontId="91" fillId="0" borderId="0" applyFill="0" applyBorder="0">
      <alignment vertical="center"/>
    </xf>
    <xf numFmtId="37" fontId="10" fillId="0" borderId="0" applyNumberFormat="0" applyBorder="0" applyAlignment="0" applyProtection="0"/>
    <xf numFmtId="241" fontId="88" fillId="0" borderId="0"/>
    <xf numFmtId="3" fontId="26" fillId="66" borderId="0"/>
    <xf numFmtId="242" fontId="2" fillId="58" borderId="0" applyFont="0" applyBorder="0" applyAlignment="0">
      <alignment horizontal="right"/>
      <protection locked="0"/>
    </xf>
    <xf numFmtId="185" fontId="26" fillId="66" borderId="0"/>
    <xf numFmtId="177" fontId="26" fillId="66" borderId="0"/>
    <xf numFmtId="4" fontId="26" fillId="66" borderId="0"/>
    <xf numFmtId="10" fontId="26" fillId="66" borderId="0"/>
    <xf numFmtId="1" fontId="3" fillId="0" borderId="0"/>
    <xf numFmtId="0" fontId="92" fillId="0" borderId="0"/>
    <xf numFmtId="0" fontId="39" fillId="0" borderId="9" applyBorder="0">
      <alignment horizontal="left"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94" fillId="0" borderId="50" applyNumberFormat="0" applyFill="0" applyAlignment="0" applyProtection="0"/>
    <xf numFmtId="0" fontId="56" fillId="0" borderId="2" applyFill="0">
      <alignment horizontal="center" vertical="center"/>
    </xf>
    <xf numFmtId="0" fontId="3" fillId="0" borderId="2" applyFill="0">
      <alignment horizontal="center" vertical="center"/>
    </xf>
    <xf numFmtId="243" fontId="3" fillId="0" borderId="2" applyFill="0">
      <alignment horizontal="center" vertical="center"/>
    </xf>
    <xf numFmtId="0" fontId="28" fillId="0" borderId="51" applyFill="0">
      <alignment horizontal="center" vertical="center"/>
    </xf>
    <xf numFmtId="0" fontId="64" fillId="0" borderId="51" applyFill="0">
      <alignment horizontal="center" vertical="center"/>
    </xf>
    <xf numFmtId="244" fontId="28" fillId="0" borderId="51" applyFill="0">
      <alignment horizontal="center" vertical="center"/>
    </xf>
    <xf numFmtId="195" fontId="35" fillId="0" borderId="51" applyFill="0">
      <alignment horizontal="center" vertical="center"/>
    </xf>
    <xf numFmtId="0" fontId="29" fillId="0" borderId="51">
      <alignment horizontal="center" vertical="center"/>
      <protection locked="0"/>
    </xf>
    <xf numFmtId="0" fontId="33" fillId="0" borderId="0">
      <alignment vertical="center"/>
      <protection locked="0"/>
    </xf>
    <xf numFmtId="0" fontId="32" fillId="0" borderId="51">
      <alignment horizontal="center" vertical="center"/>
      <protection locked="0"/>
    </xf>
    <xf numFmtId="244" fontId="29" fillId="0" borderId="51">
      <alignment horizontal="center" vertical="center"/>
      <protection locked="0"/>
    </xf>
    <xf numFmtId="195" fontId="35" fillId="0" borderId="51">
      <alignment horizontal="center" vertical="center"/>
      <protection locked="0"/>
    </xf>
    <xf numFmtId="0" fontId="32" fillId="0" borderId="0">
      <alignment vertical="center"/>
      <protection locked="0"/>
    </xf>
    <xf numFmtId="0" fontId="34" fillId="0" borderId="0">
      <alignment vertical="center"/>
      <protection locked="0"/>
    </xf>
    <xf numFmtId="210" fontId="28" fillId="0" borderId="0" applyFill="0" applyBorder="0">
      <alignment horizontal="center" vertical="center"/>
    </xf>
    <xf numFmtId="199" fontId="28" fillId="0" borderId="0" applyFill="0" applyBorder="0">
      <alignment horizontal="center" vertical="center"/>
    </xf>
    <xf numFmtId="211" fontId="28" fillId="0" borderId="0" applyFill="0" applyBorder="0">
      <alignment horizontal="center" vertical="center"/>
    </xf>
    <xf numFmtId="190" fontId="28" fillId="0" borderId="0" applyFill="0" applyBorder="0">
      <alignment horizontal="center" vertical="center"/>
    </xf>
    <xf numFmtId="196" fontId="28" fillId="0" borderId="0" applyFill="0" applyBorder="0">
      <alignment horizontal="center" vertical="center"/>
    </xf>
    <xf numFmtId="0" fontId="28" fillId="0" borderId="0" applyFill="0" applyBorder="0">
      <alignment horizontal="center" vertical="center"/>
    </xf>
    <xf numFmtId="213" fontId="28" fillId="0" borderId="0" applyFill="0" applyBorder="0">
      <alignment horizontal="center" vertical="center"/>
    </xf>
    <xf numFmtId="242" fontId="95" fillId="0" borderId="0" applyFont="0" applyFill="0" applyBorder="0" applyAlignment="0" applyProtection="0"/>
    <xf numFmtId="217" fontId="95" fillId="0" borderId="0" applyFont="0" applyFill="0" applyBorder="0" applyAlignment="0" applyProtection="0"/>
    <xf numFmtId="245" fontId="2" fillId="0" borderId="0" applyFont="0" applyFill="0" applyBorder="0" applyAlignment="0" applyProtection="0">
      <alignment horizontal="right"/>
    </xf>
    <xf numFmtId="227" fontId="65" fillId="0" borderId="0" applyFill="0" applyBorder="0">
      <alignment horizontal="right" vertical="center"/>
    </xf>
    <xf numFmtId="0" fontId="15" fillId="0" borderId="2">
      <alignment horizontal="center"/>
    </xf>
    <xf numFmtId="0" fontId="9" fillId="0" borderId="0" applyFill="0" applyBorder="0">
      <alignment horizontal="left" vertical="center"/>
    </xf>
    <xf numFmtId="246" fontId="96" fillId="0" borderId="2" applyFill="0">
      <alignment horizontal="center"/>
    </xf>
    <xf numFmtId="247" fontId="95" fillId="0" borderId="0" applyFont="0" applyFill="0" applyBorder="0" applyAlignment="0" applyProtection="0"/>
    <xf numFmtId="220" fontId="95" fillId="0" borderId="0" applyFont="0" applyFill="0" applyBorder="0" applyAlignment="0" applyProtection="0"/>
    <xf numFmtId="248" fontId="56" fillId="0" borderId="2" applyFill="0">
      <alignment horizontal="center"/>
    </xf>
    <xf numFmtId="1" fontId="57" fillId="0" borderId="2" applyBorder="0"/>
    <xf numFmtId="246" fontId="56" fillId="0" borderId="2" applyFill="0">
      <alignment horizontal="center"/>
    </xf>
    <xf numFmtId="248" fontId="56" fillId="0" borderId="2" applyFill="0">
      <alignment horizontal="center"/>
    </xf>
    <xf numFmtId="0" fontId="48" fillId="0" borderId="0" applyFont="0" applyFill="0" applyBorder="0" applyAlignment="0" applyProtection="0">
      <alignment horizontal="right"/>
    </xf>
    <xf numFmtId="0" fontId="15" fillId="0" borderId="0"/>
    <xf numFmtId="0" fontId="15" fillId="0" borderId="4">
      <alignment wrapText="1"/>
    </xf>
    <xf numFmtId="0" fontId="92" fillId="0" borderId="0"/>
    <xf numFmtId="0" fontId="15" fillId="0" borderId="6">
      <alignment horizontal="center"/>
    </xf>
    <xf numFmtId="0" fontId="39" fillId="0" borderId="3"/>
    <xf numFmtId="0" fontId="15" fillId="0" borderId="9"/>
    <xf numFmtId="0" fontId="15" fillId="0" borderId="4">
      <alignment horizontal="center"/>
    </xf>
    <xf numFmtId="0" fontId="15" fillId="0" borderId="6">
      <alignment horizontal="center"/>
    </xf>
    <xf numFmtId="0" fontId="15" fillId="0" borderId="2">
      <alignment horizontal="center"/>
    </xf>
    <xf numFmtId="0" fontId="97" fillId="68" borderId="0" applyNumberFormat="0" applyBorder="0" applyAlignment="0" applyProtection="0"/>
    <xf numFmtId="0" fontId="15" fillId="0" borderId="2"/>
    <xf numFmtId="37" fontId="98" fillId="0" borderId="0"/>
    <xf numFmtId="0" fontId="99" fillId="0" borderId="0"/>
    <xf numFmtId="249" fontId="100" fillId="0" borderId="0"/>
    <xf numFmtId="0" fontId="67" fillId="0" borderId="0"/>
    <xf numFmtId="0" fontId="50" fillId="0" borderId="0"/>
    <xf numFmtId="0" fontId="41" fillId="0" borderId="0"/>
    <xf numFmtId="0" fontId="2" fillId="0" borderId="0"/>
    <xf numFmtId="0" fontId="2" fillId="0" borderId="0"/>
    <xf numFmtId="233" fontId="57" fillId="0" borderId="0"/>
    <xf numFmtId="0" fontId="8" fillId="0" borderId="0"/>
    <xf numFmtId="184" fontId="3" fillId="0" borderId="0"/>
    <xf numFmtId="250" fontId="3" fillId="0" borderId="0" applyFont="0" applyFill="0" applyBorder="0" applyAlignment="0" applyProtection="0"/>
    <xf numFmtId="0" fontId="41" fillId="69" borderId="2"/>
    <xf numFmtId="0" fontId="41" fillId="4" borderId="9" applyNumberFormat="0" applyFont="0" applyBorder="0" applyAlignment="0" applyProtection="0"/>
    <xf numFmtId="0" fontId="18" fillId="70" borderId="52" applyNumberFormat="0" applyFont="0" applyAlignment="0" applyProtection="0"/>
    <xf numFmtId="0" fontId="101" fillId="0" borderId="0"/>
    <xf numFmtId="0" fontId="18" fillId="70" borderId="52" applyNumberFormat="0" applyFont="0" applyAlignment="0" applyProtection="0"/>
    <xf numFmtId="0" fontId="19" fillId="11" borderId="32" applyNumberFormat="0" applyFont="0" applyAlignment="0" applyProtection="0"/>
    <xf numFmtId="0" fontId="18" fillId="70" borderId="52" applyNumberFormat="0" applyFont="0" applyAlignment="0" applyProtection="0"/>
    <xf numFmtId="0" fontId="15" fillId="0" borderId="4">
      <alignment horizontal="right"/>
    </xf>
    <xf numFmtId="0" fontId="15" fillId="0" borderId="6">
      <alignment horizontal="right"/>
    </xf>
    <xf numFmtId="0" fontId="15" fillId="0" borderId="5"/>
    <xf numFmtId="0" fontId="15" fillId="0" borderId="3"/>
    <xf numFmtId="0" fontId="15" fillId="0" borderId="8"/>
    <xf numFmtId="0" fontId="15" fillId="0" borderId="7">
      <alignment horizontal="center"/>
    </xf>
    <xf numFmtId="0" fontId="41" fillId="0" borderId="9"/>
    <xf numFmtId="0" fontId="15" fillId="0" borderId="2">
      <alignment horizontal="center"/>
    </xf>
    <xf numFmtId="3" fontId="8" fillId="0" borderId="0"/>
    <xf numFmtId="3" fontId="102" fillId="63" borderId="0" applyNumberFormat="0" applyFont="0" applyFill="0" applyBorder="0" applyAlignment="0" applyProtection="0">
      <alignment horizontal="left"/>
    </xf>
    <xf numFmtId="0" fontId="39" fillId="0" borderId="9" applyFont="0" applyBorder="0">
      <alignment horizontal="center" vertical="center"/>
    </xf>
    <xf numFmtId="0" fontId="103" fillId="0" borderId="0">
      <alignment horizontal="left"/>
    </xf>
    <xf numFmtId="251" fontId="2" fillId="0" borderId="0" applyFont="0" applyFill="0" applyBorder="0" applyAlignment="0" applyProtection="0"/>
    <xf numFmtId="252" fontId="104" fillId="0" borderId="0" applyNumberFormat="0" applyFill="0" applyBorder="0" applyAlignment="0" applyProtection="0"/>
    <xf numFmtId="0" fontId="103" fillId="0" borderId="0"/>
    <xf numFmtId="252" fontId="104" fillId="0" borderId="0" applyNumberFormat="0" applyFill="0" applyBorder="0" applyAlignment="0" applyProtection="0"/>
    <xf numFmtId="15" fontId="2" fillId="0" borderId="0"/>
    <xf numFmtId="0" fontId="105" fillId="60" borderId="53" applyNumberFormat="0" applyAlignment="0" applyProtection="0"/>
    <xf numFmtId="0" fontId="105" fillId="60" borderId="53" applyNumberFormat="0" applyAlignment="0" applyProtection="0"/>
    <xf numFmtId="0" fontId="105" fillId="60" borderId="53" applyNumberFormat="0" applyAlignment="0" applyProtection="0"/>
    <xf numFmtId="0" fontId="34" fillId="0" borderId="0" applyFill="0" applyBorder="0">
      <alignment vertical="center"/>
    </xf>
    <xf numFmtId="204" fontId="35" fillId="0" borderId="0" applyFill="0" applyBorder="0">
      <alignment horizontal="center" vertical="center"/>
    </xf>
    <xf numFmtId="227" fontId="35" fillId="0" borderId="0" applyFill="0" applyBorder="0">
      <alignment horizontal="right" vertical="center"/>
    </xf>
    <xf numFmtId="206" fontId="35" fillId="0" borderId="0" applyFill="0" applyBorder="0">
      <alignment horizontal="center" vertical="center"/>
    </xf>
    <xf numFmtId="207" fontId="35" fillId="0" borderId="0" applyFill="0" applyBorder="0">
      <alignment horizontal="center" vertical="center"/>
    </xf>
    <xf numFmtId="208" fontId="35" fillId="0" borderId="0" applyFill="0" applyBorder="0">
      <alignment horizontal="center" vertical="center"/>
    </xf>
    <xf numFmtId="0" fontId="38" fillId="0" borderId="0" applyFill="0" applyBorder="0">
      <alignment horizontal="right" vertical="center"/>
    </xf>
    <xf numFmtId="209" fontId="35" fillId="0" borderId="0" applyFill="0" applyBorder="0">
      <alignment horizontal="right" vertical="center"/>
    </xf>
    <xf numFmtId="0" fontId="36" fillId="0" borderId="0" applyFill="0" applyBorder="0">
      <alignment vertical="center"/>
    </xf>
    <xf numFmtId="0" fontId="37" fillId="0" borderId="0" applyFill="0" applyBorder="0">
      <alignment vertical="center"/>
    </xf>
    <xf numFmtId="0" fontId="38" fillId="0" borderId="0" applyFill="0" applyBorder="0">
      <alignment vertical="center"/>
    </xf>
    <xf numFmtId="0" fontId="35" fillId="0" borderId="0" applyFill="0" applyBorder="0">
      <alignment vertical="center"/>
    </xf>
    <xf numFmtId="192" fontId="35" fillId="0" borderId="0" applyFill="0" applyBorder="0">
      <alignment horizontal="center" vertical="center"/>
    </xf>
    <xf numFmtId="193" fontId="35" fillId="0" borderId="0" applyFill="0" applyBorder="0">
      <alignment horizontal="center" vertical="center"/>
    </xf>
    <xf numFmtId="194" fontId="35" fillId="0" borderId="0" applyFill="0" applyBorder="0">
      <alignment horizontal="center" vertical="center"/>
    </xf>
    <xf numFmtId="195" fontId="35" fillId="0" borderId="0" applyFill="0" applyBorder="0">
      <alignment horizontal="center" vertical="center"/>
    </xf>
    <xf numFmtId="196" fontId="35" fillId="0" borderId="0" applyFill="0" applyBorder="0">
      <alignment horizontal="center" vertical="center"/>
    </xf>
    <xf numFmtId="0" fontId="35" fillId="0" borderId="0" applyFill="0" applyBorder="0">
      <alignment horizontal="center" vertical="center"/>
    </xf>
    <xf numFmtId="197" fontId="35" fillId="0" borderId="0" applyFill="0" applyBorder="0">
      <alignment horizontal="center" vertical="center"/>
    </xf>
    <xf numFmtId="0" fontId="79" fillId="0" borderId="0" applyFill="0" applyBorder="0">
      <alignment vertical="center"/>
    </xf>
    <xf numFmtId="38" fontId="2" fillId="0" borderId="0"/>
    <xf numFmtId="253" fontId="2" fillId="0" borderId="0"/>
    <xf numFmtId="10" fontId="2" fillId="0" borderId="0"/>
    <xf numFmtId="254" fontId="2" fillId="0" borderId="0"/>
    <xf numFmtId="255" fontId="2" fillId="0" borderId="0"/>
    <xf numFmtId="256" fontId="2" fillId="0" borderId="0"/>
    <xf numFmtId="1" fontId="106" fillId="0" borderId="0" applyProtection="0">
      <alignment horizontal="right" vertical="center"/>
    </xf>
    <xf numFmtId="14" fontId="27" fillId="0" borderId="0">
      <alignment horizontal="center" wrapText="1"/>
      <protection locked="0"/>
    </xf>
    <xf numFmtId="9" fontId="46" fillId="0" borderId="0"/>
    <xf numFmtId="257" fontId="2" fillId="0" borderId="0" applyFont="0" applyFill="0" applyBorder="0" applyAlignment="0"/>
    <xf numFmtId="10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1" fillId="0" borderId="9" applyFont="0" applyFill="0" applyBorder="0"/>
    <xf numFmtId="10" fontId="2" fillId="0" borderId="0" applyFont="0" applyFill="0" applyBorder="0" applyAlignment="0" applyProtection="0"/>
    <xf numFmtId="0" fontId="56" fillId="0" borderId="0" applyFill="0" applyBorder="0">
      <alignment vertical="center"/>
    </xf>
    <xf numFmtId="198" fontId="107" fillId="0" borderId="0" applyFill="0" applyBorder="0">
      <alignment horizontal="right" vertical="center"/>
    </xf>
    <xf numFmtId="214" fontId="107" fillId="0" borderId="0" applyFill="0" applyBorder="0">
      <alignment horizontal="right" vertical="center"/>
    </xf>
    <xf numFmtId="0" fontId="108" fillId="0" borderId="0" applyFill="0" applyBorder="0">
      <alignment vertical="center"/>
    </xf>
    <xf numFmtId="0" fontId="109" fillId="0" borderId="0" applyFill="0" applyBorder="0">
      <alignment vertical="center"/>
    </xf>
    <xf numFmtId="0" fontId="110" fillId="0" borderId="0" applyFill="0" applyBorder="0">
      <alignment vertical="center"/>
    </xf>
    <xf numFmtId="0" fontId="107" fillId="0" borderId="0" applyFill="0" applyBorder="0">
      <alignment vertical="center"/>
    </xf>
    <xf numFmtId="0" fontId="86" fillId="0" borderId="0" applyFill="0" applyBorder="0">
      <alignment horizontal="center" vertical="center"/>
      <protection locked="0"/>
    </xf>
    <xf numFmtId="0" fontId="86" fillId="0" borderId="0" applyFill="0" applyBorder="0">
      <alignment horizontal="center" vertical="center"/>
      <protection locked="0"/>
    </xf>
    <xf numFmtId="0" fontId="111" fillId="0" borderId="0" applyFill="0" applyBorder="0">
      <alignment horizontal="left" vertical="center"/>
      <protection locked="0"/>
    </xf>
    <xf numFmtId="0" fontId="112" fillId="0" borderId="0" applyFill="0" applyBorder="0">
      <alignment horizontal="left" vertical="center"/>
    </xf>
    <xf numFmtId="200" fontId="107" fillId="0" borderId="0" applyFill="0" applyBorder="0">
      <alignment horizontal="right" vertical="center"/>
    </xf>
    <xf numFmtId="0" fontId="107" fillId="0" borderId="0" applyFill="0" applyBorder="0">
      <alignment vertical="center"/>
    </xf>
    <xf numFmtId="201" fontId="107" fillId="0" borderId="0" applyFill="0" applyBorder="0">
      <alignment horizontal="right" vertical="center"/>
    </xf>
    <xf numFmtId="202" fontId="107" fillId="0" borderId="0" applyFill="0" applyBorder="0">
      <alignment horizontal="right" vertical="center"/>
    </xf>
    <xf numFmtId="0" fontId="110" fillId="0" borderId="0" applyFill="0" applyBorder="0">
      <alignment vertical="center"/>
    </xf>
    <xf numFmtId="201" fontId="113" fillId="0" borderId="0" applyFill="0" applyBorder="0">
      <alignment horizontal="left" vertical="center"/>
    </xf>
    <xf numFmtId="0" fontId="114" fillId="0" borderId="0" applyFill="0" applyBorder="0">
      <alignment horizontal="left" vertical="center"/>
    </xf>
    <xf numFmtId="203" fontId="107" fillId="0" borderId="0" applyFill="0" applyBorder="0">
      <alignment horizontal="right" vertical="center"/>
    </xf>
    <xf numFmtId="258" fontId="2" fillId="0" borderId="54" applyFont="0" applyFill="0" applyBorder="0" applyAlignment="0" applyProtection="0"/>
    <xf numFmtId="0" fontId="115" fillId="0" borderId="0" applyNumberFormat="0" applyFont="0" applyFill="0" applyBorder="0" applyAlignment="0" applyProtection="0">
      <alignment horizontal="left"/>
    </xf>
    <xf numFmtId="15" fontId="115" fillId="0" borderId="0" applyFont="0" applyFill="0" applyBorder="0" applyAlignment="0" applyProtection="0"/>
    <xf numFmtId="4" fontId="115" fillId="0" borderId="0" applyFont="0" applyFill="0" applyBorder="0" applyAlignment="0" applyProtection="0"/>
    <xf numFmtId="0" fontId="116" fillId="0" borderId="39">
      <alignment horizontal="center"/>
    </xf>
    <xf numFmtId="3" fontId="115" fillId="0" borderId="0" applyFont="0" applyFill="0" applyBorder="0" applyAlignment="0" applyProtection="0"/>
    <xf numFmtId="0" fontId="115" fillId="71" borderId="0" applyNumberFormat="0" applyFont="0" applyBorder="0" applyAlignment="0" applyProtection="0"/>
    <xf numFmtId="259" fontId="2" fillId="0" borderId="0"/>
    <xf numFmtId="0" fontId="117" fillId="72" borderId="0" applyNumberFormat="0" applyFont="0" applyBorder="0" applyAlignment="0">
      <alignment horizontal="center"/>
    </xf>
    <xf numFmtId="0" fontId="2" fillId="0" borderId="0" applyFont="0" applyBorder="0"/>
    <xf numFmtId="0" fontId="118" fillId="0" borderId="0" applyNumberFormat="0" applyFill="0" applyBorder="0" applyAlignment="0" applyProtection="0">
      <alignment horizontal="left"/>
    </xf>
    <xf numFmtId="260" fontId="3" fillId="0" borderId="0" applyFill="0" applyBorder="0">
      <alignment horizontal="right" vertical="center"/>
    </xf>
    <xf numFmtId="214" fontId="3" fillId="0" borderId="0" applyFill="0" applyBorder="0">
      <alignment horizontal="right" vertical="center"/>
    </xf>
    <xf numFmtId="200" fontId="3" fillId="0" borderId="0" applyFill="0" applyBorder="0">
      <alignment horizontal="right" vertical="center"/>
    </xf>
    <xf numFmtId="201" fontId="3" fillId="0" borderId="0" applyFill="0" applyBorder="0">
      <alignment horizontal="right" vertical="center"/>
    </xf>
    <xf numFmtId="202" fontId="3" fillId="0" borderId="0" applyFill="0" applyBorder="0">
      <alignment horizontal="right" vertical="center"/>
    </xf>
    <xf numFmtId="203" fontId="3" fillId="0" borderId="0" applyFill="0" applyBorder="0">
      <alignment horizontal="right" vertical="center"/>
    </xf>
    <xf numFmtId="0" fontId="119" fillId="0" borderId="0" applyFill="0" applyBorder="0">
      <alignment horizontal="left" vertical="center"/>
    </xf>
    <xf numFmtId="0" fontId="117" fillId="1" borderId="16" applyNumberFormat="0" applyFont="0" applyAlignment="0">
      <alignment horizontal="center"/>
    </xf>
    <xf numFmtId="0" fontId="12" fillId="0" borderId="0" applyFill="0" applyBorder="0">
      <alignment horizontal="left" vertical="center"/>
    </xf>
    <xf numFmtId="0" fontId="120" fillId="0" borderId="0" applyNumberFormat="0" applyFill="0" applyBorder="0" applyAlignment="0">
      <alignment horizontal="center"/>
    </xf>
    <xf numFmtId="0" fontId="2" fillId="73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1" fillId="0" borderId="0"/>
    <xf numFmtId="0" fontId="122" fillId="0" borderId="0" applyFill="0" applyBorder="0" applyAlignment="0" applyProtection="0"/>
    <xf numFmtId="0" fontId="7" fillId="74" borderId="55" applyNumberFormat="0" applyProtection="0">
      <alignment horizontal="center" wrapText="1"/>
    </xf>
    <xf numFmtId="0" fontId="7" fillId="74" borderId="56" applyNumberFormat="0" applyAlignment="0" applyProtection="0">
      <alignment wrapText="1"/>
    </xf>
    <xf numFmtId="0" fontId="2" fillId="75" borderId="0" applyNumberFormat="0" applyBorder="0">
      <alignment horizontal="center" wrapText="1"/>
    </xf>
    <xf numFmtId="0" fontId="2" fillId="76" borderId="57" applyNumberFormat="0">
      <alignment wrapText="1"/>
    </xf>
    <xf numFmtId="0" fontId="2" fillId="76" borderId="0" applyNumberFormat="0" applyBorder="0">
      <alignment wrapText="1"/>
    </xf>
    <xf numFmtId="0" fontId="2" fillId="0" borderId="0" applyNumberFormat="0" applyFill="0" applyBorder="0" applyProtection="0">
      <alignment horizontal="right" wrapText="1"/>
    </xf>
    <xf numFmtId="261" fontId="2" fillId="0" borderId="0" applyFill="0" applyBorder="0" applyAlignment="0" applyProtection="0">
      <alignment wrapText="1"/>
    </xf>
    <xf numFmtId="223" fontId="2" fillId="0" borderId="0" applyFill="0" applyBorder="0" applyAlignment="0" applyProtection="0">
      <alignment wrapText="1"/>
    </xf>
    <xf numFmtId="262" fontId="2" fillId="0" borderId="0" applyFill="0" applyBorder="0" applyAlignment="0" applyProtection="0">
      <alignment wrapText="1"/>
    </xf>
    <xf numFmtId="0" fontId="2" fillId="0" borderId="0" applyNumberFormat="0" applyFill="0" applyBorder="0" applyProtection="0">
      <alignment horizontal="right" wrapText="1"/>
    </xf>
    <xf numFmtId="0" fontId="2" fillId="0" borderId="0" applyNumberFormat="0" applyFill="0" applyBorder="0">
      <alignment horizontal="right" wrapText="1"/>
    </xf>
    <xf numFmtId="17" fontId="2" fillId="0" borderId="0" applyFill="0" applyBorder="0">
      <alignment horizontal="right" wrapText="1"/>
    </xf>
    <xf numFmtId="8" fontId="2" fillId="0" borderId="0" applyFill="0" applyBorder="0" applyAlignment="0" applyProtection="0">
      <alignment wrapText="1"/>
    </xf>
    <xf numFmtId="0" fontId="9" fillId="0" borderId="0" applyNumberFormat="0" applyFill="0" applyBorder="0">
      <alignment horizontal="left" wrapText="1"/>
    </xf>
    <xf numFmtId="0" fontId="7" fillId="0" borderId="0" applyNumberFormat="0" applyFill="0" applyBorder="0">
      <alignment horizontal="center" wrapText="1"/>
    </xf>
    <xf numFmtId="0" fontId="7" fillId="0" borderId="0" applyNumberFormat="0" applyFill="0" applyBorder="0">
      <alignment horizontal="center" wrapText="1"/>
    </xf>
    <xf numFmtId="263" fontId="2" fillId="0" borderId="0"/>
    <xf numFmtId="0" fontId="7" fillId="64" borderId="8" applyFont="0" applyBorder="0"/>
    <xf numFmtId="263" fontId="82" fillId="0" borderId="0"/>
    <xf numFmtId="0" fontId="9" fillId="0" borderId="0"/>
    <xf numFmtId="0" fontId="12" fillId="0" borderId="0"/>
    <xf numFmtId="15" fontId="2" fillId="0" borderId="0"/>
    <xf numFmtId="10" fontId="2" fillId="0" borderId="0"/>
    <xf numFmtId="0" fontId="101" fillId="0" borderId="0"/>
    <xf numFmtId="0" fontId="123" fillId="0" borderId="0"/>
    <xf numFmtId="0" fontId="84" fillId="77" borderId="0"/>
    <xf numFmtId="0" fontId="124" fillId="0" borderId="0"/>
    <xf numFmtId="0" fontId="101" fillId="0" borderId="46"/>
    <xf numFmtId="0" fontId="124" fillId="0" borderId="19" applyNumberFormat="0"/>
    <xf numFmtId="0" fontId="124" fillId="0" borderId="19" applyNumberFormat="0"/>
    <xf numFmtId="0" fontId="124" fillId="0" borderId="19" applyNumberFormat="0"/>
    <xf numFmtId="233" fontId="41" fillId="0" borderId="1"/>
    <xf numFmtId="0" fontId="59" fillId="0" borderId="0"/>
    <xf numFmtId="3" fontId="125" fillId="0" borderId="0"/>
    <xf numFmtId="3" fontId="126" fillId="0" borderId="58"/>
    <xf numFmtId="3" fontId="126" fillId="0" borderId="59"/>
    <xf numFmtId="3" fontId="126" fillId="0" borderId="60"/>
    <xf numFmtId="3" fontId="125" fillId="0" borderId="0"/>
    <xf numFmtId="0" fontId="41" fillId="0" borderId="0"/>
    <xf numFmtId="0" fontId="127" fillId="0" borderId="0" applyBorder="0" applyProtection="0">
      <alignment vertical="center"/>
    </xf>
    <xf numFmtId="0" fontId="127" fillId="0" borderId="14" applyBorder="0" applyProtection="0">
      <alignment horizontal="right" vertical="center"/>
    </xf>
    <xf numFmtId="0" fontId="128" fillId="78" borderId="0" applyBorder="0" applyProtection="0">
      <alignment horizontal="centerContinuous" vertical="center"/>
    </xf>
    <xf numFmtId="0" fontId="128" fillId="51" borderId="14" applyBorder="0" applyProtection="0">
      <alignment horizontal="centerContinuous" vertical="center"/>
    </xf>
    <xf numFmtId="0" fontId="7" fillId="0" borderId="0" applyFill="0" applyBorder="0" applyProtection="0">
      <alignment horizontal="left"/>
    </xf>
    <xf numFmtId="0" fontId="63" fillId="0" borderId="3" applyFill="0" applyBorder="0" applyProtection="0">
      <alignment horizontal="left" vertical="top"/>
    </xf>
    <xf numFmtId="40" fontId="129" fillId="0" borderId="0"/>
    <xf numFmtId="0" fontId="57" fillId="0" borderId="0"/>
    <xf numFmtId="0" fontId="101" fillId="0" borderId="0"/>
    <xf numFmtId="0" fontId="130" fillId="0" borderId="0"/>
    <xf numFmtId="0" fontId="131" fillId="0" borderId="0"/>
    <xf numFmtId="0" fontId="132" fillId="0" borderId="0"/>
    <xf numFmtId="0" fontId="133" fillId="63" borderId="0">
      <alignment horizontal="right"/>
    </xf>
    <xf numFmtId="0" fontId="134" fillId="0" borderId="0" applyNumberFormat="0" applyFill="0" applyBorder="0" applyAlignment="0" applyProtection="0"/>
    <xf numFmtId="0" fontId="135" fillId="0" borderId="0"/>
    <xf numFmtId="0" fontId="136" fillId="0" borderId="0"/>
    <xf numFmtId="0" fontId="137" fillId="0" borderId="0" applyFill="0" applyBorder="0">
      <alignment horizontal="left" vertical="center"/>
      <protection locked="0"/>
    </xf>
    <xf numFmtId="0" fontId="138" fillId="0" borderId="0" applyFill="0" applyBorder="0">
      <alignment horizontal="left" vertical="center"/>
      <protection locked="0"/>
    </xf>
    <xf numFmtId="0" fontId="139" fillId="0" borderId="0" applyFill="0" applyBorder="0">
      <alignment horizontal="left" vertical="center"/>
      <protection locked="0"/>
    </xf>
    <xf numFmtId="0" fontId="140" fillId="0" borderId="0" applyFill="0" applyBorder="0">
      <alignment horizontal="left" vertical="center"/>
      <protection locked="0"/>
    </xf>
    <xf numFmtId="0" fontId="49" fillId="0" borderId="61" applyNumberFormat="0" applyFont="0" applyFill="0" applyAlignment="0" applyProtection="0"/>
    <xf numFmtId="0" fontId="3" fillId="0" borderId="0"/>
    <xf numFmtId="264" fontId="3" fillId="0" borderId="0">
      <alignment horizontal="center"/>
    </xf>
    <xf numFmtId="37" fontId="3" fillId="3" borderId="0" applyNumberFormat="0" applyBorder="0" applyAlignment="0" applyProtection="0"/>
    <xf numFmtId="37" fontId="3" fillId="0" borderId="0"/>
    <xf numFmtId="3" fontId="141" fillId="0" borderId="48" applyProtection="0"/>
    <xf numFmtId="265" fontId="2" fillId="0" borderId="0" applyFont="0" applyFill="0" applyBorder="0" applyAlignment="0" applyProtection="0"/>
    <xf numFmtId="266" fontId="2" fillId="0" borderId="0" applyFont="0" applyFill="0" applyBorder="0" applyAlignment="0" applyProtection="0"/>
    <xf numFmtId="0" fontId="142" fillId="0" borderId="0" applyNumberFormat="0" applyFill="0" applyBorder="0" applyAlignment="0" applyProtection="0"/>
    <xf numFmtId="0" fontId="41" fillId="0" borderId="0" applyFill="0" applyBorder="0"/>
    <xf numFmtId="0" fontId="143" fillId="0" borderId="0" applyFont="0" applyFill="0" applyBorder="0" applyAlignment="0" applyProtection="0"/>
    <xf numFmtId="0" fontId="14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0">
      <alignment horizontal="center"/>
    </xf>
    <xf numFmtId="0" fontId="2" fillId="0" borderId="0"/>
    <xf numFmtId="37" fontId="2" fillId="0" borderId="0" applyProtection="0"/>
    <xf numFmtId="0" fontId="2" fillId="0" borderId="0" applyNumberFormat="0" applyFont="0" applyAlignment="0" applyProtection="0"/>
    <xf numFmtId="0" fontId="22" fillId="54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22" fillId="55" borderId="0" applyNumberFormat="0" applyBorder="0" applyAlignment="0" applyProtection="0">
      <alignment vertical="center"/>
    </xf>
    <xf numFmtId="0" fontId="23" fillId="16" borderId="0" applyNumberFormat="0" applyBorder="0" applyAlignment="0" applyProtection="0"/>
    <xf numFmtId="0" fontId="22" fillId="56" borderId="0" applyNumberFormat="0" applyBorder="0" applyAlignment="0" applyProtection="0">
      <alignment vertical="center"/>
    </xf>
    <xf numFmtId="0" fontId="23" fillId="20" borderId="0" applyNumberFormat="0" applyBorder="0" applyAlignment="0" applyProtection="0"/>
    <xf numFmtId="0" fontId="22" fillId="48" borderId="0" applyNumberFormat="0" applyBorder="0" applyAlignment="0" applyProtection="0">
      <alignment vertical="center"/>
    </xf>
    <xf numFmtId="0" fontId="23" fillId="24" borderId="0" applyNumberFormat="0" applyBorder="0" applyAlignment="0" applyProtection="0"/>
    <xf numFmtId="0" fontId="22" fillId="49" borderId="0" applyNumberFormat="0" applyBorder="0" applyAlignment="0" applyProtection="0">
      <alignment vertical="center"/>
    </xf>
    <xf numFmtId="0" fontId="23" fillId="28" borderId="0" applyNumberFormat="0" applyBorder="0" applyAlignment="0" applyProtection="0"/>
    <xf numFmtId="0" fontId="22" fillId="57" borderId="0" applyNumberFormat="0" applyBorder="0" applyAlignment="0" applyProtection="0">
      <alignment vertical="center"/>
    </xf>
    <xf numFmtId="0" fontId="23" fillId="32" borderId="0" applyNumberFormat="0" applyBorder="0" applyAlignment="0" applyProtection="0"/>
    <xf numFmtId="0" fontId="146" fillId="0" borderId="0" applyNumberFormat="0" applyFill="0" applyBorder="0" applyAlignment="0" applyProtection="0">
      <alignment vertical="center"/>
    </xf>
    <xf numFmtId="0" fontId="147" fillId="0" borderId="0" applyNumberFormat="0" applyFill="0" applyBorder="0" applyAlignment="0" applyProtection="0"/>
    <xf numFmtId="0" fontId="148" fillId="61" borderId="42" applyNumberFormat="0" applyAlignment="0" applyProtection="0">
      <alignment vertical="center"/>
    </xf>
    <xf numFmtId="0" fontId="149" fillId="10" borderId="31" applyNumberFormat="0" applyAlignment="0" applyProtection="0"/>
    <xf numFmtId="0" fontId="150" fillId="68" borderId="0" applyNumberFormat="0" applyBorder="0" applyAlignment="0" applyProtection="0">
      <alignment vertical="center"/>
    </xf>
    <xf numFmtId="0" fontId="151" fillId="7" borderId="0" applyNumberFormat="0" applyBorder="0" applyAlignment="0" applyProtection="0"/>
    <xf numFmtId="9" fontId="1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0" fillId="70" borderId="52" applyNumberFormat="0" applyFont="0" applyAlignment="0" applyProtection="0">
      <alignment vertical="center"/>
    </xf>
    <xf numFmtId="0" fontId="19" fillId="11" borderId="32" applyNumberFormat="0" applyFont="0" applyAlignment="0" applyProtection="0"/>
    <xf numFmtId="0" fontId="152" fillId="0" borderId="50" applyNumberFormat="0" applyFill="0" applyAlignment="0" applyProtection="0">
      <alignment vertical="center"/>
    </xf>
    <xf numFmtId="0" fontId="153" fillId="0" borderId="30" applyNumberFormat="0" applyFill="0" applyAlignment="0" applyProtection="0"/>
    <xf numFmtId="0" fontId="154" fillId="38" borderId="0" applyNumberFormat="0" applyBorder="0" applyAlignment="0" applyProtection="0">
      <alignment vertical="center"/>
    </xf>
    <xf numFmtId="0" fontId="155" fillId="6" borderId="0" applyNumberFormat="0" applyBorder="0" applyAlignment="0" applyProtection="0"/>
    <xf numFmtId="0" fontId="156" fillId="60" borderId="41" applyNumberFormat="0" applyAlignment="0" applyProtection="0">
      <alignment vertical="center"/>
    </xf>
    <xf numFmtId="0" fontId="157" fillId="9" borderId="28" applyNumberFormat="0" applyAlignment="0" applyProtection="0"/>
    <xf numFmtId="0" fontId="158" fillId="0" borderId="0" applyNumberFormat="0" applyFill="0" applyBorder="0" applyAlignment="0" applyProtection="0">
      <alignment vertical="center"/>
    </xf>
    <xf numFmtId="0" fontId="159" fillId="0" borderId="0" applyNumberFormat="0" applyFill="0" applyBorder="0" applyAlignment="0" applyProtection="0"/>
    <xf numFmtId="176" fontId="2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0" fillId="0" borderId="0" applyFont="0" applyFill="0" applyBorder="0" applyAlignment="0" applyProtection="0"/>
    <xf numFmtId="0" fontId="161" fillId="0" borderId="62" applyNumberFormat="0" applyFill="0" applyAlignment="0" applyProtection="0">
      <alignment vertical="center"/>
    </xf>
    <xf numFmtId="0" fontId="162" fillId="0" borderId="25" applyNumberFormat="0" applyFill="0" applyAlignment="0" applyProtection="0"/>
    <xf numFmtId="0" fontId="163" fillId="0" borderId="63" applyNumberFormat="0" applyFill="0" applyAlignment="0" applyProtection="0">
      <alignment vertical="center"/>
    </xf>
    <xf numFmtId="0" fontId="164" fillId="0" borderId="26" applyNumberFormat="0" applyFill="0" applyAlignment="0" applyProtection="0"/>
    <xf numFmtId="0" fontId="165" fillId="0" borderId="47" applyNumberFormat="0" applyFill="0" applyAlignment="0" applyProtection="0">
      <alignment vertical="center"/>
    </xf>
    <xf numFmtId="0" fontId="166" fillId="0" borderId="27" applyNumberFormat="0" applyFill="0" applyAlignment="0" applyProtection="0"/>
    <xf numFmtId="0" fontId="165" fillId="0" borderId="0" applyNumberFormat="0" applyFill="0" applyBorder="0" applyAlignment="0" applyProtection="0">
      <alignment vertical="center"/>
    </xf>
    <xf numFmtId="0" fontId="166" fillId="0" borderId="0" applyNumberFormat="0" applyFill="0" applyBorder="0" applyAlignment="0" applyProtection="0"/>
    <xf numFmtId="0" fontId="167" fillId="0" borderId="64" applyNumberFormat="0" applyFill="0" applyAlignment="0" applyProtection="0">
      <alignment vertical="center"/>
    </xf>
    <xf numFmtId="0" fontId="168" fillId="0" borderId="33" applyNumberFormat="0" applyFill="0" applyAlignment="0" applyProtection="0"/>
    <xf numFmtId="0" fontId="169" fillId="60" borderId="53" applyNumberFormat="0" applyAlignment="0" applyProtection="0">
      <alignment vertical="center"/>
    </xf>
    <xf numFmtId="0" fontId="170" fillId="9" borderId="29" applyNumberFormat="0" applyAlignment="0" applyProtection="0"/>
    <xf numFmtId="0" fontId="171" fillId="0" borderId="0" applyNumberFormat="0" applyFill="0" applyBorder="0" applyAlignment="0" applyProtection="0">
      <alignment vertical="center"/>
    </xf>
    <xf numFmtId="0" fontId="172" fillId="0" borderId="0" applyNumberFormat="0" applyFill="0" applyBorder="0" applyAlignment="0" applyProtection="0"/>
    <xf numFmtId="0" fontId="173" fillId="42" borderId="41" applyNumberFormat="0" applyAlignment="0" applyProtection="0">
      <alignment vertical="center"/>
    </xf>
    <xf numFmtId="0" fontId="174" fillId="8" borderId="28" applyNumberFormat="0" applyAlignment="0" applyProtection="0"/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1" fillId="0" borderId="0">
      <alignment vertical="center"/>
    </xf>
    <xf numFmtId="0" fontId="2" fillId="0" borderId="0"/>
    <xf numFmtId="0" fontId="160" fillId="0" borderId="0"/>
    <xf numFmtId="0" fontId="1" fillId="0" borderId="0">
      <alignment vertical="center"/>
    </xf>
    <xf numFmtId="0" fontId="1" fillId="0" borderId="0">
      <alignment vertical="center"/>
    </xf>
    <xf numFmtId="0" fontId="20" fillId="0" borderId="0">
      <alignment vertical="center"/>
    </xf>
    <xf numFmtId="0" fontId="2" fillId="0" borderId="0"/>
    <xf numFmtId="0" fontId="1" fillId="0" borderId="0">
      <alignment vertical="center"/>
    </xf>
    <xf numFmtId="0" fontId="2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5" fillId="0" borderId="0">
      <alignment vertical="center"/>
    </xf>
    <xf numFmtId="0" fontId="176" fillId="39" borderId="0" applyNumberFormat="0" applyBorder="0" applyAlignment="0" applyProtection="0">
      <alignment vertical="center"/>
    </xf>
    <xf numFmtId="0" fontId="177" fillId="5" borderId="0" applyNumberFormat="0" applyBorder="0" applyAlignment="0" applyProtection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80" fillId="0" borderId="0"/>
    <xf numFmtId="38" fontId="180" fillId="0" borderId="0" applyFont="0" applyFill="0" applyBorder="0" applyAlignment="0" applyProtection="0">
      <alignment vertical="center"/>
    </xf>
    <xf numFmtId="9" fontId="180" fillId="0" borderId="0" applyFont="0" applyFill="0" applyBorder="0" applyAlignment="0" applyProtection="0">
      <alignment vertical="center"/>
    </xf>
  </cellStyleXfs>
  <cellXfs count="601">
    <xf numFmtId="0" fontId="0" fillId="0" borderId="0" xfId="0"/>
    <xf numFmtId="0" fontId="181" fillId="0" borderId="0" xfId="4" applyFont="1"/>
    <xf numFmtId="0" fontId="181" fillId="0" borderId="34" xfId="4" applyFont="1" applyBorder="1"/>
    <xf numFmtId="0" fontId="186" fillId="0" borderId="0" xfId="0" applyFont="1"/>
    <xf numFmtId="0" fontId="189" fillId="80" borderId="69" xfId="0" applyFont="1" applyFill="1" applyBorder="1"/>
    <xf numFmtId="0" fontId="189" fillId="80" borderId="58" xfId="0" applyFont="1" applyFill="1" applyBorder="1"/>
    <xf numFmtId="0" fontId="189" fillId="80" borderId="76" xfId="0" applyFont="1" applyFill="1" applyBorder="1"/>
    <xf numFmtId="0" fontId="189" fillId="80" borderId="73" xfId="0" applyFont="1" applyFill="1" applyBorder="1"/>
    <xf numFmtId="0" fontId="186" fillId="0" borderId="69" xfId="0" applyFont="1" applyBorder="1"/>
    <xf numFmtId="0" fontId="186" fillId="0" borderId="58" xfId="0" applyFont="1" applyBorder="1"/>
    <xf numFmtId="38" fontId="186" fillId="0" borderId="58" xfId="0" applyNumberFormat="1" applyFont="1" applyBorder="1"/>
    <xf numFmtId="38" fontId="186" fillId="0" borderId="76" xfId="0" applyNumberFormat="1" applyFont="1" applyBorder="1"/>
    <xf numFmtId="38" fontId="186" fillId="0" borderId="73" xfId="0" applyNumberFormat="1" applyFont="1" applyBorder="1"/>
    <xf numFmtId="38" fontId="186" fillId="0" borderId="58" xfId="850" applyFont="1" applyBorder="1" applyAlignment="1"/>
    <xf numFmtId="0" fontId="186" fillId="0" borderId="76" xfId="0" applyFont="1" applyBorder="1"/>
    <xf numFmtId="0" fontId="186" fillId="0" borderId="73" xfId="0" applyFont="1" applyBorder="1"/>
    <xf numFmtId="0" fontId="190" fillId="0" borderId="69" xfId="0" applyFont="1" applyBorder="1" applyAlignment="1">
      <alignment horizontal="right"/>
    </xf>
    <xf numFmtId="38" fontId="191" fillId="0" borderId="58" xfId="850" applyFont="1" applyBorder="1" applyAlignment="1"/>
    <xf numFmtId="38" fontId="186" fillId="0" borderId="77" xfId="850" applyFont="1" applyBorder="1" applyAlignment="1"/>
    <xf numFmtId="0" fontId="186" fillId="0" borderId="70" xfId="0" applyFont="1" applyBorder="1"/>
    <xf numFmtId="38" fontId="186" fillId="0" borderId="71" xfId="850" applyFont="1" applyBorder="1" applyAlignment="1"/>
    <xf numFmtId="38" fontId="186" fillId="0" borderId="74" xfId="850" applyFont="1" applyBorder="1" applyAlignment="1"/>
    <xf numFmtId="38" fontId="186" fillId="0" borderId="0" xfId="0" applyNumberFormat="1" applyFont="1"/>
    <xf numFmtId="0" fontId="186" fillId="0" borderId="78" xfId="0" applyFont="1" applyBorder="1"/>
    <xf numFmtId="0" fontId="186" fillId="0" borderId="79" xfId="0" applyFont="1" applyBorder="1"/>
    <xf numFmtId="38" fontId="186" fillId="0" borderId="0" xfId="850" applyFont="1" applyBorder="1" applyAlignment="1"/>
    <xf numFmtId="38" fontId="186" fillId="0" borderId="79" xfId="0" applyNumberFormat="1" applyFont="1" applyBorder="1"/>
    <xf numFmtId="38" fontId="193" fillId="0" borderId="0" xfId="850" applyFont="1" applyBorder="1" applyAlignment="1"/>
    <xf numFmtId="38" fontId="193" fillId="0" borderId="79" xfId="850" applyFont="1" applyBorder="1" applyAlignment="1"/>
    <xf numFmtId="38" fontId="186" fillId="0" borderId="58" xfId="850" applyFont="1" applyFill="1" applyBorder="1" applyAlignment="1"/>
    <xf numFmtId="9" fontId="186" fillId="81" borderId="0" xfId="851" applyFont="1" applyFill="1" applyBorder="1" applyAlignment="1"/>
    <xf numFmtId="0" fontId="181" fillId="0" borderId="0" xfId="4" applyFont="1" applyAlignment="1">
      <alignment wrapText="1"/>
    </xf>
    <xf numFmtId="0" fontId="182" fillId="0" borderId="0" xfId="4" applyFont="1"/>
    <xf numFmtId="0" fontId="182" fillId="0" borderId="0" xfId="4" applyFont="1" applyAlignment="1">
      <alignment wrapText="1"/>
    </xf>
    <xf numFmtId="0" fontId="184" fillId="0" borderId="69" xfId="0" applyFont="1" applyBorder="1"/>
    <xf numFmtId="9" fontId="186" fillId="0" borderId="0" xfId="0" applyNumberFormat="1" applyFont="1"/>
    <xf numFmtId="177" fontId="186" fillId="0" borderId="58" xfId="851" applyNumberFormat="1" applyFont="1" applyBorder="1" applyAlignment="1"/>
    <xf numFmtId="177" fontId="186" fillId="0" borderId="58" xfId="0" applyNumberFormat="1" applyFont="1" applyBorder="1"/>
    <xf numFmtId="182" fontId="186" fillId="0" borderId="0" xfId="0" applyNumberFormat="1" applyFont="1"/>
    <xf numFmtId="183" fontId="186" fillId="0" borderId="0" xfId="0" applyNumberFormat="1" applyFont="1"/>
    <xf numFmtId="38" fontId="192" fillId="0" borderId="58" xfId="850" applyFont="1" applyFill="1" applyBorder="1" applyAlignment="1"/>
    <xf numFmtId="38" fontId="199" fillId="0" borderId="58" xfId="850" applyFont="1" applyFill="1" applyBorder="1" applyAlignment="1"/>
    <xf numFmtId="38" fontId="194" fillId="0" borderId="58" xfId="850" applyFont="1" applyFill="1" applyBorder="1" applyAlignment="1"/>
    <xf numFmtId="177" fontId="186" fillId="0" borderId="0" xfId="851" applyNumberFormat="1" applyFont="1" applyAlignment="1"/>
    <xf numFmtId="177" fontId="186" fillId="0" borderId="0" xfId="851" applyNumberFormat="1" applyFont="1" applyFill="1" applyAlignment="1"/>
    <xf numFmtId="0" fontId="186" fillId="85" borderId="0" xfId="0" applyFont="1" applyFill="1" applyAlignment="1">
      <alignment horizontal="center"/>
    </xf>
    <xf numFmtId="0" fontId="186" fillId="85" borderId="69" xfId="0" applyFont="1" applyFill="1" applyBorder="1"/>
    <xf numFmtId="0" fontId="186" fillId="85" borderId="58" xfId="0" applyFont="1" applyFill="1" applyBorder="1"/>
    <xf numFmtId="38" fontId="186" fillId="85" borderId="58" xfId="0" applyNumberFormat="1" applyFont="1" applyFill="1" applyBorder="1"/>
    <xf numFmtId="38" fontId="186" fillId="85" borderId="58" xfId="850" applyFont="1" applyFill="1" applyBorder="1" applyAlignment="1"/>
    <xf numFmtId="0" fontId="188" fillId="79" borderId="67" xfId="0" applyFont="1" applyFill="1" applyBorder="1" applyAlignment="1">
      <alignment horizontal="center"/>
    </xf>
    <xf numFmtId="0" fontId="188" fillId="79" borderId="68" xfId="0" applyFont="1" applyFill="1" applyBorder="1" applyAlignment="1">
      <alignment horizontal="center"/>
    </xf>
    <xf numFmtId="0" fontId="188" fillId="79" borderId="75" xfId="0" applyFont="1" applyFill="1" applyBorder="1" applyAlignment="1">
      <alignment horizontal="center"/>
    </xf>
    <xf numFmtId="0" fontId="188" fillId="79" borderId="72" xfId="0" applyFont="1" applyFill="1" applyBorder="1" applyAlignment="1">
      <alignment horizontal="center"/>
    </xf>
    <xf numFmtId="0" fontId="188" fillId="79" borderId="69" xfId="0" applyFont="1" applyFill="1" applyBorder="1" applyAlignment="1">
      <alignment horizontal="center"/>
    </xf>
    <xf numFmtId="0" fontId="188" fillId="79" borderId="58" xfId="0" applyFont="1" applyFill="1" applyBorder="1" applyAlignment="1">
      <alignment horizontal="center"/>
    </xf>
    <xf numFmtId="38" fontId="189" fillId="80" borderId="58" xfId="0" applyNumberFormat="1" applyFont="1" applyFill="1" applyBorder="1"/>
    <xf numFmtId="38" fontId="192" fillId="80" borderId="58" xfId="0" applyNumberFormat="1" applyFont="1" applyFill="1" applyBorder="1"/>
    <xf numFmtId="38" fontId="186" fillId="85" borderId="77" xfId="850" applyFont="1" applyFill="1" applyBorder="1" applyAlignment="1"/>
    <xf numFmtId="38" fontId="189" fillId="80" borderId="77" xfId="0" applyNumberFormat="1" applyFont="1" applyFill="1" applyBorder="1"/>
    <xf numFmtId="269" fontId="186" fillId="0" borderId="0" xfId="851" applyNumberFormat="1" applyFont="1" applyAlignment="1"/>
    <xf numFmtId="38" fontId="186" fillId="0" borderId="0" xfId="0" applyNumberFormat="1" applyFont="1" applyAlignment="1">
      <alignment horizontal="right"/>
    </xf>
    <xf numFmtId="38" fontId="192" fillId="0" borderId="44" xfId="0" applyNumberFormat="1" applyFont="1" applyBorder="1" applyAlignment="1">
      <alignment horizontal="center"/>
    </xf>
    <xf numFmtId="3" fontId="192" fillId="0" borderId="44" xfId="0" applyNumberFormat="1" applyFont="1" applyBorder="1" applyAlignment="1">
      <alignment horizontal="center"/>
    </xf>
    <xf numFmtId="177" fontId="186" fillId="0" borderId="0" xfId="0" applyNumberFormat="1" applyFont="1" applyAlignment="1">
      <alignment vertical="center"/>
    </xf>
    <xf numFmtId="0" fontId="186" fillId="0" borderId="0" xfId="0" applyFont="1" applyAlignment="1">
      <alignment horizontal="center"/>
    </xf>
    <xf numFmtId="0" fontId="181" fillId="0" borderId="24" xfId="4" applyFont="1" applyBorder="1"/>
    <xf numFmtId="0" fontId="181" fillId="0" borderId="0" xfId="4" applyFont="1" applyAlignment="1">
      <alignment vertical="center"/>
    </xf>
    <xf numFmtId="0" fontId="186" fillId="80" borderId="0" xfId="0" applyFont="1" applyFill="1"/>
    <xf numFmtId="38" fontId="184" fillId="0" borderId="0" xfId="850" applyFont="1" applyFill="1" applyBorder="1" applyAlignment="1">
      <alignment horizontal="right" vertical="center"/>
    </xf>
    <xf numFmtId="0" fontId="184" fillId="82" borderId="0" xfId="4" applyFont="1" applyFill="1" applyAlignment="1">
      <alignment horizontal="center" vertical="center" wrapText="1"/>
    </xf>
    <xf numFmtId="0" fontId="184" fillId="82" borderId="81" xfId="4" applyFont="1" applyFill="1" applyBorder="1" applyAlignment="1">
      <alignment horizontal="center" vertical="center" wrapText="1"/>
    </xf>
    <xf numFmtId="0" fontId="184" fillId="82" borderId="78" xfId="4" applyFont="1" applyFill="1" applyBorder="1" applyAlignment="1">
      <alignment horizontal="center" vertical="center" wrapText="1"/>
    </xf>
    <xf numFmtId="0" fontId="184" fillId="82" borderId="1" xfId="4" applyFont="1" applyFill="1" applyBorder="1" applyAlignment="1">
      <alignment horizontal="center" vertical="center" wrapText="1"/>
    </xf>
    <xf numFmtId="38" fontId="184" fillId="82" borderId="1" xfId="850" applyFont="1" applyFill="1" applyBorder="1" applyAlignment="1">
      <alignment horizontal="right" vertical="center"/>
    </xf>
    <xf numFmtId="0" fontId="181" fillId="82" borderId="0" xfId="4" applyFont="1" applyFill="1"/>
    <xf numFmtId="0" fontId="181" fillId="81" borderId="0" xfId="4" applyFont="1" applyFill="1"/>
    <xf numFmtId="0" fontId="181" fillId="86" borderId="0" xfId="4" applyFont="1" applyFill="1"/>
    <xf numFmtId="0" fontId="181" fillId="0" borderId="0" xfId="6" applyFont="1">
      <alignment vertical="center"/>
    </xf>
    <xf numFmtId="0" fontId="201" fillId="0" borderId="0" xfId="0" applyFont="1" applyAlignment="1">
      <alignment horizontal="left" vertical="center"/>
    </xf>
    <xf numFmtId="0" fontId="192" fillId="0" borderId="3" xfId="8" applyFont="1" applyBorder="1" applyAlignment="1">
      <alignment horizontal="right" vertical="center"/>
    </xf>
    <xf numFmtId="270" fontId="181" fillId="0" borderId="0" xfId="4" applyNumberFormat="1" applyFont="1"/>
    <xf numFmtId="2" fontId="186" fillId="0" borderId="0" xfId="0" applyNumberFormat="1" applyFont="1"/>
    <xf numFmtId="38" fontId="186" fillId="92" borderId="58" xfId="850" applyFont="1" applyFill="1" applyBorder="1" applyAlignment="1"/>
    <xf numFmtId="38" fontId="186" fillId="92" borderId="77" xfId="850" applyFont="1" applyFill="1" applyBorder="1" applyAlignment="1"/>
    <xf numFmtId="0" fontId="186" fillId="90" borderId="69" xfId="0" applyFont="1" applyFill="1" applyBorder="1"/>
    <xf numFmtId="38" fontId="186" fillId="90" borderId="58" xfId="850" applyFont="1" applyFill="1" applyBorder="1" applyAlignment="1"/>
    <xf numFmtId="38" fontId="186" fillId="90" borderId="77" xfId="850" applyFont="1" applyFill="1" applyBorder="1" applyAlignment="1"/>
    <xf numFmtId="0" fontId="186" fillId="93" borderId="0" xfId="0" applyFont="1" applyFill="1"/>
    <xf numFmtId="38" fontId="186" fillId="93" borderId="0" xfId="0" applyNumberFormat="1" applyFont="1" applyFill="1"/>
    <xf numFmtId="38" fontId="186" fillId="0" borderId="77" xfId="0" applyNumberFormat="1" applyFont="1" applyBorder="1"/>
    <xf numFmtId="38" fontId="191" fillId="0" borderId="58" xfId="850" applyFont="1" applyBorder="1" applyAlignment="1">
      <alignment horizontal="right"/>
    </xf>
    <xf numFmtId="0" fontId="181" fillId="0" borderId="87" xfId="4" applyFont="1" applyBorder="1" applyAlignment="1">
      <alignment horizontal="center"/>
    </xf>
    <xf numFmtId="0" fontId="181" fillId="0" borderId="54" xfId="4" applyFont="1" applyBorder="1" applyAlignment="1">
      <alignment horizontal="center"/>
    </xf>
    <xf numFmtId="0" fontId="181" fillId="0" borderId="89" xfId="4" applyFont="1" applyBorder="1" applyAlignment="1">
      <alignment horizontal="center"/>
    </xf>
    <xf numFmtId="0" fontId="181" fillId="0" borderId="34" xfId="4" applyFont="1" applyBorder="1" applyAlignment="1">
      <alignment wrapText="1"/>
    </xf>
    <xf numFmtId="177" fontId="186" fillId="85" borderId="0" xfId="851" applyNumberFormat="1" applyFont="1" applyFill="1" applyBorder="1" applyAlignment="1"/>
    <xf numFmtId="177" fontId="186" fillId="0" borderId="0" xfId="851" applyNumberFormat="1" applyFont="1" applyFill="1" applyBorder="1" applyAlignment="1"/>
    <xf numFmtId="9" fontId="197" fillId="86" borderId="54" xfId="0" applyNumberFormat="1" applyFont="1" applyFill="1" applyBorder="1" applyAlignment="1">
      <alignment horizontal="center"/>
    </xf>
    <xf numFmtId="0" fontId="181" fillId="0" borderId="101" xfId="4" applyFont="1" applyBorder="1" applyAlignment="1">
      <alignment wrapText="1"/>
    </xf>
    <xf numFmtId="0" fontId="181" fillId="0" borderId="138" xfId="4" applyFont="1" applyBorder="1"/>
    <xf numFmtId="268" fontId="202" fillId="86" borderId="89" xfId="850" applyNumberFormat="1" applyFont="1" applyFill="1" applyBorder="1" applyAlignment="1">
      <alignment horizontal="center"/>
    </xf>
    <xf numFmtId="9" fontId="197" fillId="86" borderId="94" xfId="0" applyNumberFormat="1" applyFont="1" applyFill="1" applyBorder="1" applyAlignment="1">
      <alignment horizontal="center"/>
    </xf>
    <xf numFmtId="0" fontId="188" fillId="88" borderId="68" xfId="0" applyFont="1" applyFill="1" applyBorder="1" applyAlignment="1">
      <alignment horizontal="center"/>
    </xf>
    <xf numFmtId="0" fontId="188" fillId="88" borderId="58" xfId="0" applyFont="1" applyFill="1" applyBorder="1" applyAlignment="1">
      <alignment horizontal="center"/>
    </xf>
    <xf numFmtId="0" fontId="181" fillId="0" borderId="94" xfId="4" applyFont="1" applyBorder="1" applyAlignment="1">
      <alignment horizontal="center"/>
    </xf>
    <xf numFmtId="0" fontId="188" fillId="79" borderId="77" xfId="0" applyFont="1" applyFill="1" applyBorder="1" applyAlignment="1">
      <alignment horizontal="center"/>
    </xf>
    <xf numFmtId="38" fontId="186" fillId="0" borderId="73" xfId="850" applyFont="1" applyBorder="1" applyAlignment="1"/>
    <xf numFmtId="0" fontId="186" fillId="80" borderId="15" xfId="0" applyFont="1" applyFill="1" applyBorder="1"/>
    <xf numFmtId="38" fontId="186" fillId="85" borderId="77" xfId="0" applyNumberFormat="1" applyFont="1" applyFill="1" applyBorder="1"/>
    <xf numFmtId="177" fontId="197" fillId="81" borderId="87" xfId="851" applyNumberFormat="1" applyFont="1" applyFill="1" applyBorder="1" applyAlignment="1">
      <alignment horizontal="center"/>
    </xf>
    <xf numFmtId="9" fontId="181" fillId="0" borderId="0" xfId="851" applyFont="1" applyAlignment="1">
      <alignment horizontal="left" vertical="center"/>
    </xf>
    <xf numFmtId="38" fontId="186" fillId="0" borderId="78" xfId="0" applyNumberFormat="1" applyFont="1" applyBorder="1"/>
    <xf numFmtId="272" fontId="186" fillId="0" borderId="0" xfId="0" applyNumberFormat="1" applyFont="1"/>
    <xf numFmtId="38" fontId="186" fillId="0" borderId="0" xfId="850" applyFont="1" applyFill="1" applyBorder="1" applyAlignment="1"/>
    <xf numFmtId="38" fontId="186" fillId="94" borderId="58" xfId="850" applyFont="1" applyFill="1" applyBorder="1" applyAlignment="1"/>
    <xf numFmtId="177" fontId="198" fillId="0" borderId="66" xfId="0" applyNumberFormat="1" applyFont="1" applyBorder="1"/>
    <xf numFmtId="183" fontId="186" fillId="85" borderId="0" xfId="0" applyNumberFormat="1" applyFont="1" applyFill="1" applyAlignment="1">
      <alignment horizontal="center"/>
    </xf>
    <xf numFmtId="38" fontId="185" fillId="89" borderId="7" xfId="850" applyFont="1" applyFill="1" applyBorder="1" applyAlignment="1">
      <alignment vertical="center"/>
    </xf>
    <xf numFmtId="2" fontId="192" fillId="0" borderId="89" xfId="0" applyNumberFormat="1" applyFont="1" applyBorder="1" applyAlignment="1">
      <alignment horizontal="center"/>
    </xf>
    <xf numFmtId="177" fontId="197" fillId="82" borderId="54" xfId="851" applyNumberFormat="1" applyFont="1" applyFill="1" applyBorder="1" applyAlignment="1">
      <alignment horizontal="center"/>
    </xf>
    <xf numFmtId="177" fontId="197" fillId="82" borderId="89" xfId="851" applyNumberFormat="1" applyFont="1" applyFill="1" applyBorder="1" applyAlignment="1">
      <alignment horizontal="center"/>
    </xf>
    <xf numFmtId="9" fontId="186" fillId="0" borderId="0" xfId="851" applyFont="1" applyAlignment="1"/>
    <xf numFmtId="38" fontId="186" fillId="0" borderId="0" xfId="850" applyFont="1" applyAlignment="1"/>
    <xf numFmtId="0" fontId="181" fillId="0" borderId="158" xfId="4" applyFont="1" applyBorder="1"/>
    <xf numFmtId="0" fontId="184" fillId="81" borderId="2" xfId="4" applyFont="1" applyFill="1" applyBorder="1" applyAlignment="1">
      <alignment horizontal="center"/>
    </xf>
    <xf numFmtId="0" fontId="184" fillId="82" borderId="80" xfId="4" applyFont="1" applyFill="1" applyBorder="1" applyAlignment="1">
      <alignment horizontal="center" vertical="center" wrapText="1"/>
    </xf>
    <xf numFmtId="0" fontId="186" fillId="92" borderId="5" xfId="0" applyFont="1" applyFill="1" applyBorder="1"/>
    <xf numFmtId="0" fontId="186" fillId="92" borderId="14" xfId="0" applyFont="1" applyFill="1" applyBorder="1"/>
    <xf numFmtId="38" fontId="187" fillId="92" borderId="14" xfId="850" applyFont="1" applyFill="1" applyBorder="1" applyAlignment="1"/>
    <xf numFmtId="38" fontId="187" fillId="92" borderId="178" xfId="850" applyFont="1" applyFill="1" applyBorder="1" applyAlignment="1"/>
    <xf numFmtId="0" fontId="203" fillId="0" borderId="0" xfId="4" applyFont="1"/>
    <xf numFmtId="0" fontId="184" fillId="0" borderId="98" xfId="4" applyFont="1" applyBorder="1" applyAlignment="1">
      <alignment horizontal="left" vertical="center"/>
    </xf>
    <xf numFmtId="0" fontId="184" fillId="0" borderId="0" xfId="4" applyFont="1" applyAlignment="1">
      <alignment horizontal="center" vertical="center"/>
    </xf>
    <xf numFmtId="0" fontId="181" fillId="0" borderId="0" xfId="4" applyFont="1" applyAlignment="1">
      <alignment horizontal="center" vertical="center" wrapText="1"/>
    </xf>
    <xf numFmtId="0" fontId="204" fillId="0" borderId="0" xfId="4" applyFont="1" applyAlignment="1">
      <alignment vertical="top"/>
    </xf>
    <xf numFmtId="0" fontId="186" fillId="0" borderId="0" xfId="829" applyFont="1"/>
    <xf numFmtId="38" fontId="186" fillId="0" borderId="0" xfId="829" applyNumberFormat="1" applyFont="1"/>
    <xf numFmtId="0" fontId="186" fillId="0" borderId="69" xfId="829" applyFont="1" applyBorder="1"/>
    <xf numFmtId="0" fontId="186" fillId="92" borderId="69" xfId="829" applyFont="1" applyFill="1" applyBorder="1"/>
    <xf numFmtId="0" fontId="186" fillId="0" borderId="9" xfId="829" applyFont="1" applyBorder="1" applyAlignment="1">
      <alignment wrapText="1"/>
    </xf>
    <xf numFmtId="0" fontId="186" fillId="0" borderId="3" xfId="829" applyFont="1" applyBorder="1" applyAlignment="1">
      <alignment horizontal="right"/>
    </xf>
    <xf numFmtId="0" fontId="186" fillId="0" borderId="3" xfId="829" applyFont="1" applyBorder="1"/>
    <xf numFmtId="0" fontId="186" fillId="0" borderId="3" xfId="829" applyFont="1" applyBorder="1" applyAlignment="1">
      <alignment wrapText="1"/>
    </xf>
    <xf numFmtId="0" fontId="185" fillId="0" borderId="0" xfId="0" applyFont="1" applyAlignment="1">
      <alignment horizontal="center" vertical="center"/>
    </xf>
    <xf numFmtId="0" fontId="184" fillId="0" borderId="0" xfId="4" applyFont="1"/>
    <xf numFmtId="0" fontId="205" fillId="0" borderId="0" xfId="4" applyFont="1" applyAlignment="1">
      <alignment horizontal="center" vertical="center"/>
    </xf>
    <xf numFmtId="177" fontId="184" fillId="0" borderId="0" xfId="4" applyNumberFormat="1" applyFont="1" applyAlignment="1">
      <alignment horizontal="center" vertical="center"/>
    </xf>
    <xf numFmtId="0" fontId="207" fillId="0" borderId="87" xfId="4" applyFont="1" applyBorder="1" applyAlignment="1">
      <alignment horizontal="center" vertical="center" wrapText="1"/>
    </xf>
    <xf numFmtId="0" fontId="207" fillId="0" borderId="87" xfId="4" applyFont="1" applyBorder="1" applyAlignment="1">
      <alignment horizontal="center" vertical="center"/>
    </xf>
    <xf numFmtId="0" fontId="184" fillId="0" borderId="97" xfId="5" applyFont="1" applyBorder="1" applyAlignment="1">
      <alignment horizontal="left" vertical="center"/>
    </xf>
    <xf numFmtId="183" fontId="184" fillId="0" borderId="84" xfId="6" applyNumberFormat="1" applyFont="1" applyBorder="1" applyAlignment="1">
      <alignment horizontal="center" vertical="center"/>
    </xf>
    <xf numFmtId="0" fontId="192" fillId="0" borderId="84" xfId="5" applyFont="1" applyBorder="1" applyAlignment="1">
      <alignment horizontal="center" vertical="center" wrapText="1"/>
    </xf>
    <xf numFmtId="0" fontId="184" fillId="0" borderId="142" xfId="6" applyFont="1" applyBorder="1">
      <alignment vertical="center"/>
    </xf>
    <xf numFmtId="0" fontId="184" fillId="0" borderId="23" xfId="5" applyFont="1" applyBorder="1">
      <alignment vertical="center"/>
    </xf>
    <xf numFmtId="0" fontId="184" fillId="81" borderId="92" xfId="0" applyFont="1" applyFill="1" applyBorder="1" applyAlignment="1">
      <alignment horizontal="center" vertical="center"/>
    </xf>
    <xf numFmtId="0" fontId="184" fillId="0" borderId="92" xfId="0" applyFont="1" applyBorder="1" applyAlignment="1">
      <alignment horizontal="center" vertical="center"/>
    </xf>
    <xf numFmtId="0" fontId="184" fillId="0" borderId="92" xfId="4" applyFont="1" applyBorder="1" applyAlignment="1">
      <alignment horizontal="center" vertical="center"/>
    </xf>
    <xf numFmtId="0" fontId="184" fillId="0" borderId="143" xfId="5" applyFont="1" applyBorder="1" applyAlignment="1">
      <alignment horizontal="left" vertical="center"/>
    </xf>
    <xf numFmtId="38" fontId="184" fillId="82" borderId="2" xfId="850" applyFont="1" applyFill="1" applyBorder="1" applyAlignment="1">
      <alignment horizontal="center" vertical="center"/>
    </xf>
    <xf numFmtId="0" fontId="192" fillId="0" borderId="2" xfId="5" applyFont="1" applyBorder="1" applyAlignment="1">
      <alignment horizontal="center" vertical="center" wrapText="1"/>
    </xf>
    <xf numFmtId="0" fontId="184" fillId="0" borderId="144" xfId="6" applyFont="1" applyBorder="1">
      <alignment vertical="center"/>
    </xf>
    <xf numFmtId="0" fontId="186" fillId="0" borderId="0" xfId="0" applyFont="1" applyAlignment="1">
      <alignment horizontal="right"/>
    </xf>
    <xf numFmtId="0" fontId="184" fillId="0" borderId="23" xfId="5" applyFont="1" applyBorder="1" applyAlignment="1">
      <alignment vertical="center" wrapText="1"/>
    </xf>
    <xf numFmtId="0" fontId="184" fillId="87" borderId="8" xfId="4" applyFont="1" applyFill="1" applyBorder="1"/>
    <xf numFmtId="0" fontId="184" fillId="0" borderId="136" xfId="5" applyFont="1" applyBorder="1" applyAlignment="1">
      <alignment horizontal="left" vertical="center"/>
    </xf>
    <xf numFmtId="183" fontId="184" fillId="0" borderId="4" xfId="6" applyNumberFormat="1" applyFont="1" applyBorder="1" applyAlignment="1">
      <alignment horizontal="centerContinuous" vertical="center"/>
    </xf>
    <xf numFmtId="0" fontId="192" fillId="0" borderId="4" xfId="5" applyFont="1" applyBorder="1" applyAlignment="1">
      <alignment horizontal="center" vertical="center" wrapText="1"/>
    </xf>
    <xf numFmtId="0" fontId="184" fillId="0" borderId="145" xfId="6" applyFont="1" applyBorder="1">
      <alignment vertical="center"/>
    </xf>
    <xf numFmtId="0" fontId="184" fillId="0" borderId="143" xfId="5" applyFont="1" applyBorder="1">
      <alignment vertical="center"/>
    </xf>
    <xf numFmtId="183" fontId="184" fillId="82" borderId="2" xfId="851" applyNumberFormat="1" applyFont="1" applyFill="1" applyBorder="1" applyAlignment="1">
      <alignment horizontal="center" vertical="center"/>
    </xf>
    <xf numFmtId="0" fontId="192" fillId="0" borderId="144" xfId="6" applyFont="1" applyBorder="1" applyAlignment="1">
      <alignment horizontal="center" vertical="center"/>
    </xf>
    <xf numFmtId="0" fontId="184" fillId="0" borderId="85" xfId="5" applyFont="1" applyBorder="1" applyAlignment="1">
      <alignment vertical="center" wrapText="1"/>
    </xf>
    <xf numFmtId="0" fontId="184" fillId="0" borderId="116" xfId="7" applyFont="1" applyBorder="1" applyAlignment="1">
      <alignment vertical="center" wrapText="1"/>
    </xf>
    <xf numFmtId="0" fontId="192" fillId="0" borderId="101" xfId="4" applyFont="1" applyBorder="1" applyAlignment="1">
      <alignment horizontal="center" wrapText="1"/>
    </xf>
    <xf numFmtId="0" fontId="184" fillId="0" borderId="85" xfId="4" applyFont="1" applyBorder="1" applyAlignment="1">
      <alignment horizontal="left" vertical="center"/>
    </xf>
    <xf numFmtId="0" fontId="184" fillId="0" borderId="3" xfId="7" applyFont="1" applyBorder="1" applyAlignment="1">
      <alignment horizontal="left" vertical="center" wrapText="1"/>
    </xf>
    <xf numFmtId="0" fontId="184" fillId="0" borderId="23" xfId="5" applyFont="1" applyBorder="1" applyProtection="1">
      <alignment vertical="center"/>
      <protection locked="0"/>
    </xf>
    <xf numFmtId="0" fontId="184" fillId="0" borderId="84" xfId="5" applyFont="1" applyBorder="1" applyAlignment="1" applyProtection="1">
      <alignment horizontal="center" vertical="center"/>
      <protection locked="0"/>
    </xf>
    <xf numFmtId="0" fontId="192" fillId="0" borderId="84" xfId="5" applyFont="1" applyBorder="1" applyAlignment="1" applyProtection="1">
      <alignment horizontal="center" vertical="center" wrapText="1"/>
      <protection locked="0"/>
    </xf>
    <xf numFmtId="0" fontId="185" fillId="0" borderId="24" xfId="6" applyFont="1" applyBorder="1" applyAlignment="1" applyProtection="1">
      <alignment horizontal="center" vertical="center"/>
      <protection locked="0"/>
    </xf>
    <xf numFmtId="185" fontId="184" fillId="81" borderId="87" xfId="7" applyNumberFormat="1" applyFont="1" applyFill="1" applyBorder="1" applyAlignment="1" applyProtection="1">
      <alignment horizontal="center" vertical="center" wrapText="1"/>
      <protection locked="0"/>
    </xf>
    <xf numFmtId="0" fontId="192" fillId="0" borderId="87" xfId="8" applyFont="1" applyBorder="1" applyAlignment="1" applyProtection="1">
      <alignment horizontal="center" vertical="center"/>
      <protection locked="0"/>
    </xf>
    <xf numFmtId="0" fontId="185" fillId="0" borderId="88" xfId="4" applyFont="1" applyBorder="1" applyAlignment="1" applyProtection="1">
      <alignment horizontal="center"/>
      <protection locked="0"/>
    </xf>
    <xf numFmtId="0" fontId="192" fillId="0" borderId="4" xfId="0" applyFont="1" applyBorder="1"/>
    <xf numFmtId="0" fontId="192" fillId="0" borderId="0" xfId="0" applyFont="1"/>
    <xf numFmtId="0" fontId="184" fillId="0" borderId="3" xfId="5" applyFont="1" applyBorder="1" applyAlignment="1">
      <alignment horizontal="left" vertical="center"/>
    </xf>
    <xf numFmtId="271" fontId="184" fillId="0" borderId="95" xfId="850" applyNumberFormat="1" applyFont="1" applyBorder="1" applyAlignment="1" applyProtection="1">
      <alignment horizontal="center" vertical="center"/>
      <protection locked="0"/>
    </xf>
    <xf numFmtId="0" fontId="192" fillId="0" borderId="95" xfId="8" applyFont="1" applyBorder="1" applyAlignment="1" applyProtection="1">
      <alignment horizontal="center" vertical="center"/>
      <protection locked="0"/>
    </xf>
    <xf numFmtId="0" fontId="185" fillId="0" borderId="96" xfId="4" applyFont="1" applyBorder="1" applyAlignment="1" applyProtection="1">
      <alignment horizontal="center"/>
      <protection locked="0"/>
    </xf>
    <xf numFmtId="0" fontId="184" fillId="0" borderId="13" xfId="5" applyFont="1" applyBorder="1" applyAlignment="1">
      <alignment horizontal="left" vertical="center"/>
    </xf>
    <xf numFmtId="179" fontId="184" fillId="0" borderId="4" xfId="6" applyNumberFormat="1" applyFont="1" applyBorder="1" applyAlignment="1">
      <alignment horizontal="right" vertical="center"/>
    </xf>
    <xf numFmtId="38" fontId="181" fillId="0" borderId="0" xfId="850" applyFont="1" applyBorder="1" applyAlignment="1">
      <alignment vertical="center"/>
    </xf>
    <xf numFmtId="0" fontId="184" fillId="0" borderId="116" xfId="5" applyFont="1" applyBorder="1" applyAlignment="1">
      <alignment horizontal="left" vertical="center"/>
    </xf>
    <xf numFmtId="0" fontId="184" fillId="0" borderId="103" xfId="5" applyFont="1" applyBorder="1">
      <alignment vertical="center"/>
    </xf>
    <xf numFmtId="183" fontId="184" fillId="0" borderId="104" xfId="6" applyNumberFormat="1" applyFont="1" applyBorder="1" applyAlignment="1">
      <alignment horizontal="center" vertical="center"/>
    </xf>
    <xf numFmtId="179" fontId="192" fillId="0" borderId="104" xfId="6" applyNumberFormat="1" applyFont="1" applyBorder="1" applyAlignment="1">
      <alignment horizontal="center" vertical="center"/>
    </xf>
    <xf numFmtId="0" fontId="185" fillId="0" borderId="105" xfId="6" applyFont="1" applyBorder="1" applyAlignment="1">
      <alignment horizontal="center" vertical="center"/>
    </xf>
    <xf numFmtId="0" fontId="192" fillId="0" borderId="22" xfId="5" applyFont="1" applyBorder="1" applyAlignment="1">
      <alignment horizontal="left" vertical="center"/>
    </xf>
    <xf numFmtId="179" fontId="184" fillId="0" borderId="7" xfId="6" applyNumberFormat="1" applyFont="1" applyBorder="1" applyAlignment="1">
      <alignment horizontal="right" vertical="center"/>
    </xf>
    <xf numFmtId="38" fontId="181" fillId="0" borderId="78" xfId="850" applyFont="1" applyBorder="1" applyAlignment="1">
      <alignment vertical="center"/>
    </xf>
    <xf numFmtId="270" fontId="205" fillId="86" borderId="4" xfId="6" applyNumberFormat="1" applyFont="1" applyFill="1" applyBorder="1" applyAlignment="1">
      <alignment horizontal="center" vertical="center"/>
    </xf>
    <xf numFmtId="0" fontId="192" fillId="0" borderId="4" xfId="6" applyFont="1" applyBorder="1" applyAlignment="1">
      <alignment horizontal="center" vertical="center"/>
    </xf>
    <xf numFmtId="0" fontId="185" fillId="0" borderId="15" xfId="4" applyFont="1" applyBorder="1" applyAlignment="1">
      <alignment horizontal="center"/>
    </xf>
    <xf numFmtId="0" fontId="192" fillId="0" borderId="85" xfId="5" applyFont="1" applyBorder="1" applyAlignment="1">
      <alignment horizontal="left" vertical="center"/>
    </xf>
    <xf numFmtId="179" fontId="184" fillId="0" borderId="54" xfId="6" applyNumberFormat="1" applyFont="1" applyBorder="1" applyAlignment="1">
      <alignment horizontal="right" vertical="center"/>
    </xf>
    <xf numFmtId="38" fontId="181" fillId="0" borderId="1" xfId="850" applyFont="1" applyBorder="1" applyAlignment="1">
      <alignment vertical="center"/>
    </xf>
    <xf numFmtId="180" fontId="208" fillId="0" borderId="95" xfId="6" applyNumberFormat="1" applyFont="1" applyBorder="1" applyAlignment="1">
      <alignment horizontal="center" vertical="center"/>
    </xf>
    <xf numFmtId="0" fontId="197" fillId="0" borderId="95" xfId="6" applyFont="1" applyBorder="1" applyAlignment="1">
      <alignment horizontal="center" vertical="center"/>
    </xf>
    <xf numFmtId="0" fontId="185" fillId="0" borderId="96" xfId="6" applyFont="1" applyBorder="1" applyAlignment="1">
      <alignment horizontal="center" vertical="center"/>
    </xf>
    <xf numFmtId="0" fontId="192" fillId="0" borderId="21" xfId="5" applyFont="1" applyBorder="1" applyAlignment="1">
      <alignment horizontal="left" vertical="center"/>
    </xf>
    <xf numFmtId="179" fontId="184" fillId="0" borderId="6" xfId="6" applyNumberFormat="1" applyFont="1" applyBorder="1" applyAlignment="1">
      <alignment horizontal="right" vertical="center"/>
    </xf>
    <xf numFmtId="38" fontId="181" fillId="0" borderId="80" xfId="850" applyFont="1" applyBorder="1" applyAlignment="1">
      <alignment vertical="center"/>
    </xf>
    <xf numFmtId="0" fontId="184" fillId="0" borderId="115" xfId="5" applyFont="1" applyBorder="1" applyAlignment="1">
      <alignment horizontal="left" vertical="center"/>
    </xf>
    <xf numFmtId="270" fontId="184" fillId="0" borderId="94" xfId="4" applyNumberFormat="1" applyFont="1" applyBorder="1" applyAlignment="1">
      <alignment vertical="center"/>
    </xf>
    <xf numFmtId="0" fontId="192" fillId="0" borderId="100" xfId="5" applyFont="1" applyBorder="1" applyAlignment="1">
      <alignment horizontal="left" vertical="center"/>
    </xf>
    <xf numFmtId="179" fontId="184" fillId="0" borderId="101" xfId="6" applyNumberFormat="1" applyFont="1" applyBorder="1" applyAlignment="1">
      <alignment horizontal="right" vertical="center"/>
    </xf>
    <xf numFmtId="38" fontId="181" fillId="0" borderId="81" xfId="850" applyFont="1" applyBorder="1" applyAlignment="1">
      <alignment vertical="center"/>
    </xf>
    <xf numFmtId="0" fontId="184" fillId="0" borderId="113" xfId="5" applyFont="1" applyBorder="1" applyAlignment="1">
      <alignment horizontal="left" vertical="center"/>
    </xf>
    <xf numFmtId="270" fontId="184" fillId="0" borderId="92" xfId="4" applyNumberFormat="1" applyFont="1" applyBorder="1" applyAlignment="1">
      <alignment vertical="center"/>
    </xf>
    <xf numFmtId="0" fontId="209" fillId="0" borderId="139" xfId="4" applyFont="1" applyBorder="1" applyAlignment="1">
      <alignment vertical="center"/>
    </xf>
    <xf numFmtId="185" fontId="184" fillId="0" borderId="140" xfId="4" applyNumberFormat="1" applyFont="1" applyBorder="1" applyAlignment="1">
      <alignment horizontal="center" vertical="center"/>
    </xf>
    <xf numFmtId="0" fontId="210" fillId="0" borderId="88" xfId="4" applyFont="1" applyBorder="1" applyAlignment="1">
      <alignment horizontal="center"/>
    </xf>
    <xf numFmtId="0" fontId="184" fillId="87" borderId="8" xfId="5" applyFont="1" applyFill="1" applyBorder="1" applyAlignment="1">
      <alignment horizontal="left" vertical="center"/>
    </xf>
    <xf numFmtId="270" fontId="184" fillId="87" borderId="2" xfId="4" applyNumberFormat="1" applyFont="1" applyFill="1" applyBorder="1" applyAlignment="1">
      <alignment vertical="center"/>
    </xf>
    <xf numFmtId="38" fontId="184" fillId="0" borderId="94" xfId="850" applyFont="1" applyFill="1" applyBorder="1" applyAlignment="1">
      <alignment horizontal="center" vertical="center"/>
    </xf>
    <xf numFmtId="179" fontId="192" fillId="0" borderId="94" xfId="6" applyNumberFormat="1" applyFont="1" applyBorder="1" applyAlignment="1">
      <alignment horizontal="center" vertical="center"/>
    </xf>
    <xf numFmtId="0" fontId="184" fillId="87" borderId="110" xfId="5" applyFont="1" applyFill="1" applyBorder="1" applyAlignment="1">
      <alignment horizontal="left" vertical="center"/>
    </xf>
    <xf numFmtId="270" fontId="184" fillId="87" borderId="87" xfId="4" applyNumberFormat="1" applyFont="1" applyFill="1" applyBorder="1" applyAlignment="1">
      <alignment vertical="center"/>
    </xf>
    <xf numFmtId="38" fontId="184" fillId="0" borderId="54" xfId="850" applyFont="1" applyFill="1" applyBorder="1" applyAlignment="1">
      <alignment horizontal="center" vertical="center"/>
    </xf>
    <xf numFmtId="179" fontId="192" fillId="0" borderId="54" xfId="6" applyNumberFormat="1" applyFont="1" applyBorder="1" applyAlignment="1">
      <alignment horizontal="center" vertical="center"/>
    </xf>
    <xf numFmtId="270" fontId="212" fillId="0" borderId="4" xfId="4" applyNumberFormat="1" applyFont="1" applyBorder="1" applyAlignment="1">
      <alignment vertical="center"/>
    </xf>
    <xf numFmtId="270" fontId="212" fillId="0" borderId="89" xfId="4" applyNumberFormat="1" applyFont="1" applyBorder="1" applyAlignment="1">
      <alignment vertical="center"/>
    </xf>
    <xf numFmtId="0" fontId="184" fillId="0" borderId="141" xfId="4" applyFont="1" applyBorder="1" applyAlignment="1">
      <alignment vertical="center"/>
    </xf>
    <xf numFmtId="9" fontId="184" fillId="90" borderId="89" xfId="851" applyFont="1" applyFill="1" applyBorder="1" applyAlignment="1">
      <alignment horizontal="center" vertical="center"/>
    </xf>
    <xf numFmtId="185" fontId="184" fillId="87" borderId="2" xfId="4" applyNumberFormat="1" applyFont="1" applyFill="1" applyBorder="1" applyAlignment="1">
      <alignment vertical="center"/>
    </xf>
    <xf numFmtId="270" fontId="184" fillId="87" borderId="54" xfId="4" applyNumberFormat="1" applyFont="1" applyFill="1" applyBorder="1" applyAlignment="1">
      <alignment vertical="center"/>
    </xf>
    <xf numFmtId="0" fontId="184" fillId="0" borderId="13" xfId="5" applyFont="1" applyBorder="1">
      <alignment vertical="center"/>
    </xf>
    <xf numFmtId="0" fontId="184" fillId="0" borderId="4" xfId="5" applyFont="1" applyBorder="1">
      <alignment vertical="center"/>
    </xf>
    <xf numFmtId="0" fontId="184" fillId="0" borderId="107" xfId="5" applyFont="1" applyBorder="1" applyAlignment="1">
      <alignment horizontal="center" vertical="center" wrapText="1"/>
    </xf>
    <xf numFmtId="0" fontId="184" fillId="0" borderId="156" xfId="6" applyFont="1" applyBorder="1">
      <alignment vertical="center"/>
    </xf>
    <xf numFmtId="0" fontId="184" fillId="0" borderId="2" xfId="8" applyFont="1" applyBorder="1" applyAlignment="1">
      <alignment horizontal="center" vertical="center" wrapText="1"/>
    </xf>
    <xf numFmtId="0" fontId="184" fillId="0" borderId="8" xfId="5" applyFont="1" applyBorder="1" applyAlignment="1">
      <alignment horizontal="left" vertical="center"/>
    </xf>
    <xf numFmtId="270" fontId="184" fillId="0" borderId="2" xfId="4" applyNumberFormat="1" applyFont="1" applyBorder="1" applyAlignment="1">
      <alignment vertical="center"/>
    </xf>
    <xf numFmtId="185" fontId="184" fillId="0" borderId="2" xfId="4" applyNumberFormat="1" applyFont="1" applyBorder="1" applyAlignment="1">
      <alignment vertical="center"/>
    </xf>
    <xf numFmtId="270" fontId="184" fillId="0" borderId="54" xfId="4" applyNumberFormat="1" applyFont="1" applyBorder="1" applyAlignment="1">
      <alignment vertical="center"/>
    </xf>
    <xf numFmtId="0" fontId="184" fillId="0" borderId="65" xfId="5" applyFont="1" applyBorder="1">
      <alignment vertical="center"/>
    </xf>
    <xf numFmtId="0" fontId="210" fillId="0" borderId="124" xfId="7" applyFont="1" applyBorder="1" applyAlignment="1">
      <alignment vertical="center" wrapText="1"/>
    </xf>
    <xf numFmtId="38" fontId="184" fillId="0" borderId="4" xfId="850" applyFont="1" applyBorder="1" applyAlignment="1">
      <alignment horizontal="center" vertical="center"/>
    </xf>
    <xf numFmtId="0" fontId="184" fillId="87" borderId="5" xfId="5" applyFont="1" applyFill="1" applyBorder="1" applyAlignment="1">
      <alignment horizontal="left" vertical="center"/>
    </xf>
    <xf numFmtId="270" fontId="184" fillId="87" borderId="6" xfId="4" applyNumberFormat="1" applyFont="1" applyFill="1" applyBorder="1" applyAlignment="1">
      <alignment vertical="center"/>
    </xf>
    <xf numFmtId="0" fontId="184" fillId="0" borderId="91" xfId="5" applyFont="1" applyBorder="1">
      <alignment vertical="center"/>
    </xf>
    <xf numFmtId="183" fontId="184" fillId="81" borderId="92" xfId="5" applyNumberFormat="1" applyFont="1" applyFill="1" applyBorder="1">
      <alignment vertical="center"/>
    </xf>
    <xf numFmtId="0" fontId="184" fillId="0" borderId="92" xfId="5" applyFont="1" applyBorder="1" applyAlignment="1">
      <alignment horizontal="center" vertical="center" wrapText="1"/>
    </xf>
    <xf numFmtId="0" fontId="184" fillId="0" borderId="93" xfId="6" applyFont="1" applyBorder="1">
      <alignment vertical="center"/>
    </xf>
    <xf numFmtId="0" fontId="214" fillId="0" borderId="125" xfId="7" applyFont="1" applyBorder="1" applyAlignment="1">
      <alignment vertical="center" wrapText="1"/>
    </xf>
    <xf numFmtId="38" fontId="184" fillId="0" borderId="87" xfId="850" applyFont="1" applyBorder="1" applyAlignment="1">
      <alignment horizontal="center" vertical="center"/>
    </xf>
    <xf numFmtId="0" fontId="184" fillId="0" borderId="157" xfId="5" applyFont="1" applyBorder="1">
      <alignment vertical="center"/>
    </xf>
    <xf numFmtId="183" fontId="184" fillId="0" borderId="87" xfId="5" applyNumberFormat="1" applyFont="1" applyBorder="1">
      <alignment vertical="center"/>
    </xf>
    <xf numFmtId="183" fontId="184" fillId="0" borderId="87" xfId="5" applyNumberFormat="1" applyFont="1" applyBorder="1" applyAlignment="1">
      <alignment horizontal="center" vertical="center" wrapText="1"/>
    </xf>
    <xf numFmtId="0" fontId="210" fillId="0" borderId="88" xfId="6" applyFont="1" applyBorder="1">
      <alignment vertical="center"/>
    </xf>
    <xf numFmtId="0" fontId="214" fillId="0" borderId="126" xfId="7" applyFont="1" applyBorder="1" applyAlignment="1">
      <alignment vertical="center" wrapText="1"/>
    </xf>
    <xf numFmtId="38" fontId="184" fillId="0" borderId="92" xfId="850" applyFont="1" applyBorder="1" applyAlignment="1">
      <alignment horizontal="center" vertical="center"/>
    </xf>
    <xf numFmtId="0" fontId="192" fillId="0" borderId="85" xfId="5" applyFont="1" applyBorder="1">
      <alignment vertical="center"/>
    </xf>
    <xf numFmtId="183" fontId="184" fillId="81" borderId="54" xfId="5" applyNumberFormat="1" applyFont="1" applyFill="1" applyBorder="1">
      <alignment vertical="center"/>
    </xf>
    <xf numFmtId="0" fontId="184" fillId="0" borderId="54" xfId="5" applyFont="1" applyBorder="1" applyAlignment="1">
      <alignment horizontal="center" vertical="center" wrapText="1"/>
    </xf>
    <xf numFmtId="0" fontId="184" fillId="0" borderId="86" xfId="6" applyFont="1" applyBorder="1">
      <alignment vertical="center"/>
    </xf>
    <xf numFmtId="0" fontId="184" fillId="0" borderId="122" xfId="5" applyFont="1" applyBorder="1" applyAlignment="1">
      <alignment horizontal="center" vertical="center"/>
    </xf>
    <xf numFmtId="270" fontId="185" fillId="0" borderId="2" xfId="8" applyNumberFormat="1" applyFont="1" applyBorder="1" applyAlignment="1">
      <alignment horizontal="center" vertical="center"/>
    </xf>
    <xf numFmtId="0" fontId="184" fillId="0" borderId="87" xfId="4" applyFont="1" applyBorder="1"/>
    <xf numFmtId="177" fontId="184" fillId="86" borderId="87" xfId="4" applyNumberFormat="1" applyFont="1" applyFill="1" applyBorder="1" applyAlignment="1">
      <alignment horizontal="center"/>
    </xf>
    <xf numFmtId="0" fontId="186" fillId="0" borderId="87" xfId="0" applyFont="1" applyBorder="1" applyAlignment="1">
      <alignment horizontal="center"/>
    </xf>
    <xf numFmtId="0" fontId="192" fillId="0" borderId="91" xfId="5" applyFont="1" applyBorder="1">
      <alignment vertical="center"/>
    </xf>
    <xf numFmtId="0" fontId="184" fillId="0" borderId="128" xfId="5" applyFont="1" applyBorder="1" applyAlignment="1">
      <alignment horizontal="left" vertical="center"/>
    </xf>
    <xf numFmtId="270" fontId="184" fillId="0" borderId="2" xfId="6" applyNumberFormat="1" applyFont="1" applyBorder="1" applyAlignment="1">
      <alignment horizontal="center" vertical="center"/>
    </xf>
    <xf numFmtId="177" fontId="192" fillId="81" borderId="129" xfId="851" applyNumberFormat="1" applyFont="1" applyFill="1" applyBorder="1" applyAlignment="1">
      <alignment horizontal="center" vertical="center"/>
    </xf>
    <xf numFmtId="0" fontId="184" fillId="0" borderId="54" xfId="4" applyFont="1" applyBorder="1"/>
    <xf numFmtId="177" fontId="184" fillId="86" borderId="54" xfId="4" applyNumberFormat="1" applyFont="1" applyFill="1" applyBorder="1" applyAlignment="1">
      <alignment horizontal="center"/>
    </xf>
    <xf numFmtId="0" fontId="186" fillId="0" borderId="54" xfId="0" applyFont="1" applyBorder="1" applyAlignment="1">
      <alignment horizontal="center"/>
    </xf>
    <xf numFmtId="0" fontId="192" fillId="0" borderId="17" xfId="5" applyFont="1" applyBorder="1">
      <alignment vertical="center"/>
    </xf>
    <xf numFmtId="183" fontId="184" fillId="0" borderId="2" xfId="5" applyNumberFormat="1" applyFont="1" applyBorder="1">
      <alignment vertical="center"/>
    </xf>
    <xf numFmtId="0" fontId="184" fillId="0" borderId="2" xfId="5" applyFont="1" applyBorder="1" applyAlignment="1">
      <alignment horizontal="center" vertical="center" wrapText="1"/>
    </xf>
    <xf numFmtId="0" fontId="184" fillId="0" borderId="18" xfId="6" applyFont="1" applyBorder="1">
      <alignment vertical="center"/>
    </xf>
    <xf numFmtId="0" fontId="192" fillId="89" borderId="17" xfId="5" applyFont="1" applyFill="1" applyBorder="1">
      <alignment vertical="center"/>
    </xf>
    <xf numFmtId="183" fontId="184" fillId="89" borderId="2" xfId="5" applyNumberFormat="1" applyFont="1" applyFill="1" applyBorder="1">
      <alignment vertical="center"/>
    </xf>
    <xf numFmtId="177" fontId="192" fillId="81" borderId="174" xfId="851" applyNumberFormat="1" applyFont="1" applyFill="1" applyBorder="1" applyAlignment="1">
      <alignment horizontal="center" vertical="center"/>
    </xf>
    <xf numFmtId="0" fontId="192" fillId="0" borderId="21" xfId="5" applyFont="1" applyBorder="1" applyAlignment="1">
      <alignment horizontal="center" vertical="center"/>
    </xf>
    <xf numFmtId="183" fontId="184" fillId="0" borderId="6" xfId="5" applyNumberFormat="1" applyFont="1" applyBorder="1">
      <alignment vertical="center"/>
    </xf>
    <xf numFmtId="0" fontId="184" fillId="0" borderId="94" xfId="4" applyFont="1" applyBorder="1" applyAlignment="1">
      <alignment horizontal="center"/>
    </xf>
    <xf numFmtId="9" fontId="184" fillId="86" borderId="135" xfId="5" applyNumberFormat="1" applyFont="1" applyFill="1" applyBorder="1" applyAlignment="1">
      <alignment horizontal="center" vertical="center" wrapText="1"/>
    </xf>
    <xf numFmtId="0" fontId="184" fillId="0" borderId="133" xfId="5" applyFont="1" applyBorder="1" applyAlignment="1">
      <alignment horizontal="left" vertical="center"/>
    </xf>
    <xf numFmtId="270" fontId="184" fillId="0" borderId="4" xfId="6" applyNumberFormat="1" applyFont="1" applyBorder="1" applyAlignment="1">
      <alignment horizontal="center" vertical="center"/>
    </xf>
    <xf numFmtId="0" fontId="184" fillId="0" borderId="89" xfId="4" applyFont="1" applyBorder="1"/>
    <xf numFmtId="9" fontId="184" fillId="86" borderId="89" xfId="4" applyNumberFormat="1" applyFont="1" applyFill="1" applyBorder="1" applyAlignment="1">
      <alignment horizontal="center"/>
    </xf>
    <xf numFmtId="0" fontId="186" fillId="0" borderId="89" xfId="0" applyFont="1" applyBorder="1" applyAlignment="1">
      <alignment horizontal="center"/>
    </xf>
    <xf numFmtId="0" fontId="192" fillId="89" borderId="17" xfId="5" applyFont="1" applyFill="1" applyBorder="1" applyAlignment="1">
      <alignment horizontal="center" vertical="center"/>
    </xf>
    <xf numFmtId="0" fontId="184" fillId="0" borderId="151" xfId="5" applyFont="1" applyBorder="1" applyAlignment="1">
      <alignment horizontal="center" vertical="center"/>
    </xf>
    <xf numFmtId="270" fontId="184" fillId="0" borderId="152" xfId="7" applyNumberFormat="1" applyFont="1" applyBorder="1" applyAlignment="1">
      <alignment horizontal="center" vertical="center" wrapText="1"/>
    </xf>
    <xf numFmtId="0" fontId="184" fillId="0" borderId="6" xfId="4" applyFont="1" applyBorder="1"/>
    <xf numFmtId="9" fontId="184" fillId="86" borderId="6" xfId="4" applyNumberFormat="1" applyFont="1" applyFill="1" applyBorder="1" applyAlignment="1">
      <alignment horizontal="center"/>
    </xf>
    <xf numFmtId="0" fontId="186" fillId="0" borderId="94" xfId="0" applyFont="1" applyBorder="1" applyAlignment="1">
      <alignment horizontal="center"/>
    </xf>
    <xf numFmtId="9" fontId="184" fillId="81" borderId="99" xfId="6" applyNumberFormat="1" applyFont="1" applyFill="1" applyBorder="1" applyAlignment="1">
      <alignment horizontal="center" vertical="center"/>
    </xf>
    <xf numFmtId="0" fontId="184" fillId="89" borderId="106" xfId="5" applyFont="1" applyFill="1" applyBorder="1">
      <alignment vertical="center"/>
    </xf>
    <xf numFmtId="183" fontId="184" fillId="89" borderId="107" xfId="5" applyNumberFormat="1" applyFont="1" applyFill="1" applyBorder="1">
      <alignment vertical="center"/>
    </xf>
    <xf numFmtId="0" fontId="184" fillId="0" borderId="107" xfId="5" applyFont="1" applyBorder="1" applyAlignment="1">
      <alignment vertical="center" wrapText="1"/>
    </xf>
    <xf numFmtId="0" fontId="184" fillId="0" borderId="108" xfId="6" applyFont="1" applyBorder="1">
      <alignment vertical="center"/>
    </xf>
    <xf numFmtId="0" fontId="184" fillId="0" borderId="131" xfId="7" applyFont="1" applyBorder="1">
      <alignment vertical="center"/>
    </xf>
    <xf numFmtId="267" fontId="185" fillId="0" borderId="113" xfId="4" applyNumberFormat="1" applyFont="1" applyBorder="1" applyAlignment="1">
      <alignment vertical="center"/>
    </xf>
    <xf numFmtId="267" fontId="185" fillId="0" borderId="114" xfId="0" applyNumberFormat="1" applyFont="1" applyBorder="1" applyAlignment="1">
      <alignment vertical="center"/>
    </xf>
    <xf numFmtId="0" fontId="210" fillId="0" borderId="129" xfId="4" applyFont="1" applyBorder="1" applyAlignment="1">
      <alignment vertical="center" wrapText="1"/>
    </xf>
    <xf numFmtId="0" fontId="184" fillId="0" borderId="0" xfId="4" quotePrefix="1" applyFont="1"/>
    <xf numFmtId="0" fontId="184" fillId="0" borderId="13" xfId="5" applyFont="1" applyBorder="1" applyAlignment="1">
      <alignment horizontal="center" vertical="center"/>
    </xf>
    <xf numFmtId="183" fontId="184" fillId="0" borderId="4" xfId="5" applyNumberFormat="1" applyFont="1" applyBorder="1">
      <alignment vertical="center"/>
    </xf>
    <xf numFmtId="0" fontId="192" fillId="0" borderId="83" xfId="5" applyFont="1" applyBorder="1" applyAlignment="1">
      <alignment horizontal="center" vertical="center" wrapText="1"/>
    </xf>
    <xf numFmtId="2" fontId="184" fillId="81" borderId="15" xfId="6" applyNumberFormat="1" applyFont="1" applyFill="1" applyBorder="1" applyAlignment="1">
      <alignment horizontal="center" vertical="center"/>
    </xf>
    <xf numFmtId="0" fontId="184" fillId="0" borderId="103" xfId="6" applyFont="1" applyBorder="1" applyAlignment="1">
      <alignment horizontal="center" vertical="center"/>
    </xf>
    <xf numFmtId="183" fontId="184" fillId="0" borderId="104" xfId="5" applyNumberFormat="1" applyFont="1" applyBorder="1">
      <alignment vertical="center"/>
    </xf>
    <xf numFmtId="9" fontId="184" fillId="86" borderId="105" xfId="6" applyNumberFormat="1" applyFont="1" applyFill="1" applyBorder="1" applyAlignment="1">
      <alignment horizontal="center" vertical="center"/>
    </xf>
    <xf numFmtId="0" fontId="184" fillId="0" borderId="2" xfId="4" applyFont="1" applyBorder="1" applyAlignment="1">
      <alignment horizontal="left"/>
    </xf>
    <xf numFmtId="270" fontId="184" fillId="0" borderId="2" xfId="4" applyNumberFormat="1" applyFont="1" applyBorder="1"/>
    <xf numFmtId="0" fontId="184" fillId="0" borderId="0" xfId="0" quotePrefix="1" applyFont="1"/>
    <xf numFmtId="0" fontId="184" fillId="0" borderId="106" xfId="5" applyFont="1" applyBorder="1" applyAlignment="1">
      <alignment horizontal="center" vertical="center"/>
    </xf>
    <xf numFmtId="183" fontId="184" fillId="0" borderId="107" xfId="5" applyNumberFormat="1" applyFont="1" applyBorder="1">
      <alignment vertical="center"/>
    </xf>
    <xf numFmtId="0" fontId="185" fillId="0" borderId="116" xfId="4" applyFont="1" applyBorder="1" applyAlignment="1">
      <alignment vertical="center"/>
    </xf>
    <xf numFmtId="0" fontId="184" fillId="0" borderId="100" xfId="5" applyFont="1" applyBorder="1" applyAlignment="1">
      <alignment horizontal="center" vertical="center"/>
    </xf>
    <xf numFmtId="179" fontId="184" fillId="86" borderId="101" xfId="6" applyNumberFormat="1" applyFont="1" applyFill="1" applyBorder="1" applyAlignment="1">
      <alignment horizontal="right" vertical="center"/>
    </xf>
    <xf numFmtId="0" fontId="184" fillId="0" borderId="101" xfId="5" applyFont="1" applyBorder="1" applyAlignment="1">
      <alignment horizontal="center" vertical="center" wrapText="1"/>
    </xf>
    <xf numFmtId="0" fontId="184" fillId="0" borderId="102" xfId="6" applyFont="1" applyBorder="1">
      <alignment vertical="center"/>
    </xf>
    <xf numFmtId="0" fontId="184" fillId="0" borderId="133" xfId="7" applyFont="1" applyBorder="1">
      <alignment vertical="center"/>
    </xf>
    <xf numFmtId="0" fontId="184" fillId="0" borderId="161" xfId="5" applyFont="1" applyBorder="1" applyAlignment="1">
      <alignment horizontal="center" vertical="center"/>
    </xf>
    <xf numFmtId="0" fontId="184" fillId="89" borderId="168" xfId="5" applyFont="1" applyFill="1" applyBorder="1" applyAlignment="1">
      <alignment horizontal="left" vertical="center"/>
    </xf>
    <xf numFmtId="270" fontId="185" fillId="89" borderId="169" xfId="0" applyNumberFormat="1" applyFont="1" applyFill="1" applyBorder="1" applyAlignment="1">
      <alignment vertical="center"/>
    </xf>
    <xf numFmtId="0" fontId="192" fillId="0" borderId="94" xfId="4" applyFont="1" applyBorder="1"/>
    <xf numFmtId="0" fontId="210" fillId="0" borderId="94" xfId="4" applyFont="1" applyBorder="1"/>
    <xf numFmtId="0" fontId="192" fillId="0" borderId="94" xfId="0" applyFont="1" applyBorder="1" applyAlignment="1">
      <alignment horizontal="center" vertical="center"/>
    </xf>
    <xf numFmtId="0" fontId="192" fillId="0" borderId="54" xfId="0" applyFont="1" applyBorder="1"/>
    <xf numFmtId="0" fontId="192" fillId="0" borderId="54" xfId="4" applyFont="1" applyBorder="1"/>
    <xf numFmtId="0" fontId="184" fillId="0" borderId="54" xfId="0" applyFont="1" applyBorder="1" applyAlignment="1">
      <alignment horizontal="center"/>
    </xf>
    <xf numFmtId="0" fontId="184" fillId="89" borderId="134" xfId="5" applyFont="1" applyFill="1" applyBorder="1" applyAlignment="1">
      <alignment horizontal="left" vertical="center"/>
    </xf>
    <xf numFmtId="0" fontId="184" fillId="0" borderId="0" xfId="4" applyFont="1" applyAlignment="1">
      <alignment horizontal="right"/>
    </xf>
    <xf numFmtId="0" fontId="192" fillId="0" borderId="89" xfId="0" applyFont="1" applyBorder="1"/>
    <xf numFmtId="0" fontId="192" fillId="0" borderId="89" xfId="4" applyFont="1" applyBorder="1"/>
    <xf numFmtId="0" fontId="184" fillId="0" borderId="89" xfId="0" applyFont="1" applyBorder="1" applyAlignment="1">
      <alignment horizontal="center"/>
    </xf>
    <xf numFmtId="183" fontId="184" fillId="89" borderId="2" xfId="4" applyNumberFormat="1" applyFont="1" applyFill="1" applyBorder="1"/>
    <xf numFmtId="0" fontId="192" fillId="0" borderId="6" xfId="0" applyFont="1" applyBorder="1"/>
    <xf numFmtId="0" fontId="192" fillId="0" borderId="6" xfId="4" applyFont="1" applyBorder="1"/>
    <xf numFmtId="2" fontId="184" fillId="0" borderId="6" xfId="0" applyNumberFormat="1" applyFont="1" applyBorder="1" applyAlignment="1">
      <alignment horizontal="center"/>
    </xf>
    <xf numFmtId="0" fontId="192" fillId="0" borderId="0" xfId="4" applyFont="1"/>
    <xf numFmtId="2" fontId="184" fillId="0" borderId="0" xfId="0" applyNumberFormat="1" applyFont="1" applyAlignment="1">
      <alignment horizontal="center"/>
    </xf>
    <xf numFmtId="0" fontId="205" fillId="0" borderId="0" xfId="0" applyFont="1" applyAlignment="1">
      <alignment horizontal="center" vertical="center"/>
    </xf>
    <xf numFmtId="0" fontId="184" fillId="89" borderId="7" xfId="829" applyFont="1" applyFill="1" applyBorder="1"/>
    <xf numFmtId="0" fontId="192" fillId="89" borderId="7" xfId="0" applyFont="1" applyFill="1" applyBorder="1" applyAlignment="1">
      <alignment vertical="center"/>
    </xf>
    <xf numFmtId="0" fontId="185" fillId="0" borderId="2" xfId="829" applyFont="1" applyBorder="1" applyAlignment="1">
      <alignment vertical="center"/>
    </xf>
    <xf numFmtId="185" fontId="216" fillId="81" borderId="2" xfId="0" applyNumberFormat="1" applyFont="1" applyFill="1" applyBorder="1" applyAlignment="1">
      <alignment horizontal="center" vertical="center"/>
    </xf>
    <xf numFmtId="0" fontId="192" fillId="0" borderId="2" xfId="0" applyFont="1" applyBorder="1"/>
    <xf numFmtId="0" fontId="192" fillId="91" borderId="0" xfId="0" applyFont="1" applyFill="1"/>
    <xf numFmtId="0" fontId="192" fillId="0" borderId="0" xfId="829" applyFont="1"/>
    <xf numFmtId="183" fontId="184" fillId="0" borderId="87" xfId="0" applyNumberFormat="1" applyFont="1" applyBorder="1"/>
    <xf numFmtId="0" fontId="186" fillId="0" borderId="4" xfId="0" applyFont="1" applyBorder="1"/>
    <xf numFmtId="0" fontId="192" fillId="0" borderId="94" xfId="829" applyFont="1" applyBorder="1" applyAlignment="1">
      <alignment horizontal="left" vertical="center"/>
    </xf>
    <xf numFmtId="9" fontId="184" fillId="0" borderId="94" xfId="851" applyFont="1" applyFill="1" applyBorder="1" applyAlignment="1">
      <alignment horizontal="center"/>
    </xf>
    <xf numFmtId="0" fontId="192" fillId="0" borderId="94" xfId="829" applyFont="1" applyBorder="1"/>
    <xf numFmtId="0" fontId="192" fillId="83" borderId="0" xfId="0" applyFont="1" applyFill="1"/>
    <xf numFmtId="0" fontId="192" fillId="0" borderId="54" xfId="829" applyFont="1" applyBorder="1"/>
    <xf numFmtId="183" fontId="184" fillId="0" borderId="54" xfId="0" applyNumberFormat="1" applyFont="1" applyBorder="1"/>
    <xf numFmtId="0" fontId="192" fillId="0" borderId="94" xfId="0" applyFont="1" applyBorder="1"/>
    <xf numFmtId="0" fontId="192" fillId="0" borderId="54" xfId="0" applyFont="1" applyBorder="1" applyAlignment="1">
      <alignment horizontal="left" vertical="center"/>
    </xf>
    <xf numFmtId="9" fontId="184" fillId="91" borderId="54" xfId="851" applyFont="1" applyFill="1" applyBorder="1" applyAlignment="1">
      <alignment horizontal="center" vertical="center"/>
    </xf>
    <xf numFmtId="0" fontId="192" fillId="81" borderId="0" xfId="0" applyFont="1" applyFill="1"/>
    <xf numFmtId="183" fontId="184" fillId="0" borderId="94" xfId="850" applyNumberFormat="1" applyFont="1" applyBorder="1" applyAlignment="1"/>
    <xf numFmtId="2" fontId="184" fillId="0" borderId="89" xfId="0" applyNumberFormat="1" applyFont="1" applyBorder="1" applyAlignment="1">
      <alignment horizontal="center"/>
    </xf>
    <xf numFmtId="0" fontId="192" fillId="0" borderId="89" xfId="829" applyFont="1" applyBorder="1" applyAlignment="1">
      <alignment vertical="center"/>
    </xf>
    <xf numFmtId="0" fontId="192" fillId="86" borderId="0" xfId="0" applyFont="1" applyFill="1"/>
    <xf numFmtId="183" fontId="184" fillId="0" borderId="92" xfId="850" applyNumberFormat="1" applyFont="1" applyBorder="1" applyAlignment="1"/>
    <xf numFmtId="0" fontId="192" fillId="0" borderId="92" xfId="829" applyFont="1" applyBorder="1"/>
    <xf numFmtId="0" fontId="208" fillId="91" borderId="54" xfId="0" applyFont="1" applyFill="1" applyBorder="1" applyAlignment="1">
      <alignment horizontal="center"/>
    </xf>
    <xf numFmtId="0" fontId="210" fillId="0" borderId="92" xfId="829" applyFont="1" applyBorder="1"/>
    <xf numFmtId="183" fontId="184" fillId="0" borderId="87" xfId="850" applyNumberFormat="1" applyFont="1" applyBorder="1" applyAlignment="1"/>
    <xf numFmtId="0" fontId="192" fillId="0" borderId="87" xfId="0" applyFont="1" applyBorder="1"/>
    <xf numFmtId="9" fontId="184" fillId="90" borderId="6" xfId="851" applyFont="1" applyFill="1" applyBorder="1" applyAlignment="1">
      <alignment horizontal="center"/>
    </xf>
    <xf numFmtId="0" fontId="192" fillId="0" borderId="6" xfId="829" applyFont="1" applyBorder="1"/>
    <xf numFmtId="9" fontId="208" fillId="91" borderId="54" xfId="0" applyNumberFormat="1" applyFont="1" applyFill="1" applyBorder="1" applyAlignment="1">
      <alignment horizontal="center"/>
    </xf>
    <xf numFmtId="9" fontId="199" fillId="0" borderId="54" xfId="0" applyNumberFormat="1" applyFont="1" applyBorder="1" applyAlignment="1">
      <alignment horizontal="left"/>
    </xf>
    <xf numFmtId="183" fontId="184" fillId="90" borderId="87" xfId="850" applyNumberFormat="1" applyFont="1" applyFill="1" applyBorder="1" applyAlignment="1">
      <alignment horizontal="center"/>
    </xf>
    <xf numFmtId="177" fontId="184" fillId="0" borderId="54" xfId="0" applyNumberFormat="1" applyFont="1" applyBorder="1" applyAlignment="1">
      <alignment horizontal="center"/>
    </xf>
    <xf numFmtId="0" fontId="192" fillId="0" borderId="54" xfId="0" applyFont="1" applyBorder="1" applyAlignment="1">
      <alignment horizontal="right"/>
    </xf>
    <xf numFmtId="9" fontId="184" fillId="90" borderId="54" xfId="851" applyFont="1" applyFill="1" applyBorder="1" applyAlignment="1">
      <alignment horizontal="center"/>
    </xf>
    <xf numFmtId="0" fontId="192" fillId="0" borderId="92" xfId="0" applyFont="1" applyBorder="1"/>
    <xf numFmtId="183" fontId="184" fillId="83" borderId="92" xfId="0" applyNumberFormat="1" applyFont="1" applyFill="1" applyBorder="1" applyAlignment="1">
      <alignment horizontal="center"/>
    </xf>
    <xf numFmtId="0" fontId="214" fillId="0" borderId="92" xfId="0" applyFont="1" applyBorder="1" applyAlignment="1">
      <alignment horizontal="left"/>
    </xf>
    <xf numFmtId="0" fontId="184" fillId="0" borderId="89" xfId="829" applyFont="1" applyBorder="1"/>
    <xf numFmtId="0" fontId="184" fillId="89" borderId="2" xfId="0" applyFont="1" applyFill="1" applyBorder="1"/>
    <xf numFmtId="177" fontId="184" fillId="89" borderId="2" xfId="0" applyNumberFormat="1" applyFont="1" applyFill="1" applyBorder="1" applyAlignment="1">
      <alignment horizontal="center" vertical="center"/>
    </xf>
    <xf numFmtId="9" fontId="199" fillId="0" borderId="87" xfId="0" applyNumberFormat="1" applyFont="1" applyBorder="1" applyAlignment="1">
      <alignment horizontal="left"/>
    </xf>
    <xf numFmtId="0" fontId="192" fillId="0" borderId="54" xfId="0" applyFont="1" applyBorder="1" applyAlignment="1">
      <alignment horizontal="center"/>
    </xf>
    <xf numFmtId="1" fontId="184" fillId="0" borderId="2" xfId="0" quotePrefix="1" applyNumberFormat="1" applyFont="1" applyBorder="1" applyAlignment="1">
      <alignment horizontal="center"/>
    </xf>
    <xf numFmtId="177" fontId="184" fillId="90" borderId="94" xfId="851" applyNumberFormat="1" applyFont="1" applyFill="1" applyBorder="1" applyAlignment="1"/>
    <xf numFmtId="177" fontId="192" fillId="0" borderId="89" xfId="851" applyNumberFormat="1" applyFont="1" applyFill="1" applyBorder="1" applyAlignment="1">
      <alignment horizontal="center"/>
    </xf>
    <xf numFmtId="269" fontId="192" fillId="0" borderId="0" xfId="784" applyNumberFormat="1" applyFont="1" applyAlignment="1"/>
    <xf numFmtId="0" fontId="214" fillId="0" borderId="89" xfId="0" applyFont="1" applyBorder="1" applyAlignment="1">
      <alignment horizontal="left"/>
    </xf>
    <xf numFmtId="177" fontId="192" fillId="85" borderId="89" xfId="851" applyNumberFormat="1" applyFont="1" applyFill="1" applyBorder="1" applyAlignment="1"/>
    <xf numFmtId="0" fontId="192" fillId="0" borderId="0" xfId="829" applyFont="1" applyAlignment="1">
      <alignment horizontal="center"/>
    </xf>
    <xf numFmtId="0" fontId="184" fillId="87" borderId="8" xfId="4" applyFont="1" applyFill="1" applyBorder="1" applyAlignment="1">
      <alignment vertical="center"/>
    </xf>
    <xf numFmtId="270" fontId="184" fillId="87" borderId="2" xfId="0" applyNumberFormat="1" applyFont="1" applyFill="1" applyBorder="1" applyAlignment="1">
      <alignment vertical="center"/>
    </xf>
    <xf numFmtId="0" fontId="184" fillId="0" borderId="115" xfId="7" applyFont="1" applyBorder="1" applyAlignment="1">
      <alignment vertical="center"/>
    </xf>
    <xf numFmtId="270" fontId="184" fillId="0" borderId="94" xfId="0" applyNumberFormat="1" applyFont="1" applyBorder="1" applyAlignment="1">
      <alignment vertical="center"/>
    </xf>
    <xf numFmtId="185" fontId="184" fillId="0" borderId="94" xfId="0" applyNumberFormat="1" applyFont="1" applyBorder="1" applyAlignment="1">
      <alignment vertical="center"/>
    </xf>
    <xf numFmtId="270" fontId="184" fillId="0" borderId="54" xfId="0" applyNumberFormat="1" applyFont="1" applyBorder="1" applyAlignment="1">
      <alignment vertical="center"/>
    </xf>
    <xf numFmtId="270" fontId="184" fillId="0" borderId="4" xfId="0" applyNumberFormat="1" applyFont="1" applyBorder="1" applyAlignment="1">
      <alignment vertical="center"/>
    </xf>
    <xf numFmtId="270" fontId="184" fillId="0" borderId="4" xfId="4" applyNumberFormat="1" applyFont="1" applyBorder="1" applyAlignment="1">
      <alignment vertical="center"/>
    </xf>
    <xf numFmtId="0" fontId="184" fillId="0" borderId="23" xfId="5" applyFont="1" applyBorder="1" applyAlignment="1">
      <alignment vertical="center"/>
    </xf>
    <xf numFmtId="0" fontId="192" fillId="0" borderId="12" xfId="0" applyFont="1" applyBorder="1" applyAlignment="1">
      <alignment vertical="center"/>
    </xf>
    <xf numFmtId="0" fontId="186" fillId="0" borderId="12" xfId="0" applyFont="1" applyBorder="1" applyAlignment="1">
      <alignment vertical="center"/>
    </xf>
    <xf numFmtId="0" fontId="181" fillId="0" borderId="12" xfId="4" applyFont="1" applyBorder="1" applyAlignment="1">
      <alignment horizontal="center" vertical="center"/>
    </xf>
    <xf numFmtId="0" fontId="181" fillId="0" borderId="12" xfId="4" applyFont="1" applyBorder="1" applyAlignment="1">
      <alignment vertical="center"/>
    </xf>
    <xf numFmtId="0" fontId="181" fillId="0" borderId="20" xfId="4" applyFont="1" applyBorder="1" applyAlignment="1">
      <alignment vertical="center"/>
    </xf>
    <xf numFmtId="268" fontId="184" fillId="82" borderId="84" xfId="850" applyNumberFormat="1" applyFont="1" applyFill="1" applyBorder="1" applyAlignment="1">
      <alignment vertical="center"/>
    </xf>
    <xf numFmtId="179" fontId="184" fillId="0" borderId="34" xfId="6" applyNumberFormat="1" applyFont="1" applyBorder="1" applyAlignment="1">
      <alignment vertical="center"/>
    </xf>
    <xf numFmtId="0" fontId="186" fillId="0" borderId="34" xfId="0" applyFont="1" applyBorder="1" applyAlignment="1">
      <alignment vertical="center"/>
    </xf>
    <xf numFmtId="0" fontId="181" fillId="0" borderId="23" xfId="4" applyFont="1" applyBorder="1" applyAlignment="1">
      <alignment horizontal="center" vertical="center"/>
    </xf>
    <xf numFmtId="0" fontId="181" fillId="0" borderId="34" xfId="4" applyFont="1" applyBorder="1" applyAlignment="1">
      <alignment vertical="center"/>
    </xf>
    <xf numFmtId="0" fontId="181" fillId="0" borderId="24" xfId="4" applyFont="1" applyBorder="1" applyAlignment="1">
      <alignment vertical="center"/>
    </xf>
    <xf numFmtId="38" fontId="184" fillId="0" borderId="54" xfId="850" applyFont="1" applyFill="1" applyBorder="1" applyAlignment="1">
      <alignment vertical="center"/>
    </xf>
    <xf numFmtId="179" fontId="184" fillId="0" borderId="1" xfId="6" applyNumberFormat="1" applyFont="1" applyBorder="1" applyAlignment="1">
      <alignment vertical="center"/>
    </xf>
    <xf numFmtId="0" fontId="186" fillId="0" borderId="1" xfId="0" applyFont="1" applyBorder="1" applyAlignment="1">
      <alignment vertical="center"/>
    </xf>
    <xf numFmtId="0" fontId="181" fillId="0" borderId="85" xfId="4" applyFont="1" applyBorder="1" applyAlignment="1">
      <alignment horizontal="center" vertical="center"/>
    </xf>
    <xf numFmtId="0" fontId="181" fillId="0" borderId="1" xfId="4" applyFont="1" applyBorder="1" applyAlignment="1">
      <alignment vertical="center"/>
    </xf>
    <xf numFmtId="0" fontId="181" fillId="0" borderId="86" xfId="4" applyFont="1" applyBorder="1" applyAlignment="1">
      <alignment vertical="center"/>
    </xf>
    <xf numFmtId="268" fontId="184" fillId="82" borderId="54" xfId="850" applyNumberFormat="1" applyFont="1" applyFill="1" applyBorder="1" applyAlignment="1">
      <alignment vertical="center"/>
    </xf>
    <xf numFmtId="268" fontId="184" fillId="0" borderId="54" xfId="850" applyNumberFormat="1" applyFont="1" applyFill="1" applyBorder="1" applyAlignment="1">
      <alignment vertical="center"/>
    </xf>
    <xf numFmtId="0" fontId="184" fillId="0" borderId="100" xfId="0" applyFont="1" applyBorder="1" applyAlignment="1">
      <alignment vertical="center" wrapText="1"/>
    </xf>
    <xf numFmtId="0" fontId="192" fillId="82" borderId="101" xfId="0" applyFont="1" applyFill="1" applyBorder="1" applyAlignment="1">
      <alignment vertical="center"/>
    </xf>
    <xf numFmtId="179" fontId="184" fillId="0" borderId="81" xfId="6" applyNumberFormat="1" applyFont="1" applyBorder="1" applyAlignment="1">
      <alignment vertical="center"/>
    </xf>
    <xf numFmtId="0" fontId="186" fillId="0" borderId="81" xfId="0" applyFont="1" applyBorder="1" applyAlignment="1">
      <alignment vertical="center"/>
    </xf>
    <xf numFmtId="0" fontId="181" fillId="0" borderId="100" xfId="4" applyFont="1" applyBorder="1" applyAlignment="1">
      <alignment horizontal="center" vertical="center"/>
    </xf>
    <xf numFmtId="0" fontId="181" fillId="0" borderId="81" xfId="4" applyFont="1" applyBorder="1" applyAlignment="1">
      <alignment vertical="center"/>
    </xf>
    <xf numFmtId="0" fontId="181" fillId="0" borderId="102" xfId="4" applyFont="1" applyBorder="1" applyAlignment="1">
      <alignment vertical="center"/>
    </xf>
    <xf numFmtId="0" fontId="184" fillId="0" borderId="13" xfId="0" applyFont="1" applyBorder="1" applyAlignment="1">
      <alignment vertical="center"/>
    </xf>
    <xf numFmtId="0" fontId="192" fillId="0" borderId="4" xfId="0" applyFont="1" applyBorder="1" applyAlignment="1">
      <alignment vertical="center"/>
    </xf>
    <xf numFmtId="0" fontId="192" fillId="0" borderId="0" xfId="0" applyFont="1" applyAlignment="1">
      <alignment vertical="center"/>
    </xf>
    <xf numFmtId="0" fontId="186" fillId="0" borderId="0" xfId="0" applyFont="1" applyAlignment="1">
      <alignment vertical="center"/>
    </xf>
    <xf numFmtId="0" fontId="181" fillId="0" borderId="0" xfId="4" applyFont="1" applyAlignment="1">
      <alignment horizontal="center" vertical="center"/>
    </xf>
    <xf numFmtId="0" fontId="181" fillId="0" borderId="15" xfId="4" applyFont="1" applyBorder="1" applyAlignment="1">
      <alignment vertical="center"/>
    </xf>
    <xf numFmtId="179" fontId="181" fillId="0" borderId="0" xfId="6" applyNumberFormat="1" applyFont="1" applyAlignment="1">
      <alignment horizontal="left" vertical="center"/>
    </xf>
    <xf numFmtId="179" fontId="181" fillId="0" borderId="78" xfId="6" applyNumberFormat="1" applyFont="1" applyBorder="1" applyAlignment="1">
      <alignment horizontal="left" vertical="center"/>
    </xf>
    <xf numFmtId="38" fontId="184" fillId="82" borderId="78" xfId="850" applyFont="1" applyFill="1" applyBorder="1" applyAlignment="1">
      <alignment vertical="center"/>
    </xf>
    <xf numFmtId="0" fontId="181" fillId="0" borderId="82" xfId="4" applyFont="1" applyBorder="1" applyAlignment="1">
      <alignment vertical="center"/>
    </xf>
    <xf numFmtId="179" fontId="181" fillId="0" borderId="1" xfId="6" applyNumberFormat="1" applyFont="1" applyBorder="1" applyAlignment="1">
      <alignment horizontal="left" vertical="center"/>
    </xf>
    <xf numFmtId="179" fontId="181" fillId="0" borderId="80" xfId="6" applyNumberFormat="1" applyFont="1" applyBorder="1" applyAlignment="1">
      <alignment horizontal="left" vertical="center"/>
    </xf>
    <xf numFmtId="38" fontId="184" fillId="82" borderId="80" xfId="850" applyFont="1" applyFill="1" applyBorder="1" applyAlignment="1">
      <alignment vertical="center"/>
    </xf>
    <xf numFmtId="0" fontId="181" fillId="0" borderId="177" xfId="4" applyFont="1" applyBorder="1" applyAlignment="1">
      <alignment vertical="center"/>
    </xf>
    <xf numFmtId="179" fontId="181" fillId="0" borderId="81" xfId="6" applyNumberFormat="1" applyFont="1" applyBorder="1" applyAlignment="1">
      <alignment horizontal="left" vertical="center"/>
    </xf>
    <xf numFmtId="38" fontId="184" fillId="0" borderId="81" xfId="850" applyFont="1" applyFill="1" applyBorder="1" applyAlignment="1">
      <alignment vertical="center"/>
    </xf>
    <xf numFmtId="0" fontId="192" fillId="0" borderId="100" xfId="0" applyFont="1" applyBorder="1" applyAlignment="1">
      <alignment horizontal="center" vertical="center"/>
    </xf>
    <xf numFmtId="179" fontId="192" fillId="0" borderId="101" xfId="0" applyNumberFormat="1" applyFont="1" applyBorder="1" applyAlignment="1">
      <alignment vertical="center"/>
    </xf>
    <xf numFmtId="0" fontId="210" fillId="0" borderId="81" xfId="0" applyFont="1" applyBorder="1" applyAlignment="1">
      <alignment vertical="center"/>
    </xf>
    <xf numFmtId="180" fontId="196" fillId="0" borderId="100" xfId="4" applyNumberFormat="1" applyFont="1" applyBorder="1" applyAlignment="1">
      <alignment vertical="center"/>
    </xf>
    <xf numFmtId="0" fontId="184" fillId="0" borderId="0" xfId="4" applyFont="1" applyAlignment="1">
      <alignment vertical="center"/>
    </xf>
    <xf numFmtId="0" fontId="181" fillId="0" borderId="0" xfId="4" applyFont="1" applyAlignment="1">
      <alignment vertical="center" wrapText="1"/>
    </xf>
    <xf numFmtId="0" fontId="189" fillId="79" borderId="34" xfId="0" applyFont="1" applyFill="1" applyBorder="1" applyAlignment="1">
      <alignment horizontal="center" vertical="center"/>
    </xf>
    <xf numFmtId="0" fontId="184" fillId="0" borderId="122" xfId="7" applyFont="1" applyBorder="1" applyAlignment="1">
      <alignment vertical="center"/>
    </xf>
    <xf numFmtId="0" fontId="181" fillId="0" borderId="3" xfId="4" applyFont="1" applyBorder="1" applyAlignment="1">
      <alignment vertical="center"/>
    </xf>
    <xf numFmtId="0" fontId="181" fillId="0" borderId="8" xfId="4" applyFont="1" applyBorder="1" applyAlignment="1">
      <alignment vertical="center"/>
    </xf>
    <xf numFmtId="0" fontId="184" fillId="0" borderId="153" xfId="4" applyFont="1" applyBorder="1" applyAlignment="1">
      <alignment vertical="center"/>
    </xf>
    <xf numFmtId="0" fontId="181" fillId="0" borderId="154" xfId="4" applyFont="1" applyBorder="1" applyAlignment="1">
      <alignment vertical="center"/>
    </xf>
    <xf numFmtId="268" fontId="184" fillId="0" borderId="155" xfId="850" applyNumberFormat="1" applyFont="1" applyBorder="1" applyAlignment="1">
      <alignment vertical="center"/>
    </xf>
    <xf numFmtId="270" fontId="185" fillId="0" borderId="92" xfId="7" applyNumberFormat="1" applyFont="1" applyBorder="1" applyAlignment="1">
      <alignment vertical="center"/>
    </xf>
    <xf numFmtId="270" fontId="184" fillId="0" borderId="54" xfId="850" applyNumberFormat="1" applyFont="1" applyBorder="1" applyAlignment="1">
      <alignment vertical="center"/>
    </xf>
    <xf numFmtId="0" fontId="192" fillId="0" borderId="132" xfId="8" applyFont="1" applyBorder="1" applyAlignment="1">
      <alignment vertical="center"/>
    </xf>
    <xf numFmtId="270" fontId="184" fillId="0" borderId="54" xfId="7" applyNumberFormat="1" applyFont="1" applyBorder="1" applyAlignment="1">
      <alignment vertical="center"/>
    </xf>
    <xf numFmtId="270" fontId="185" fillId="0" borderId="54" xfId="7" applyNumberFormat="1" applyFont="1" applyBorder="1" applyAlignment="1">
      <alignment vertical="center"/>
    </xf>
    <xf numFmtId="270" fontId="185" fillId="0" borderId="1" xfId="8" applyNumberFormat="1" applyFont="1" applyBorder="1" applyAlignment="1">
      <alignment vertical="center"/>
    </xf>
    <xf numFmtId="0" fontId="192" fillId="0" borderId="132" xfId="4" applyFont="1" applyBorder="1" applyAlignment="1">
      <alignment vertical="center"/>
    </xf>
    <xf numFmtId="270" fontId="184" fillId="0" borderId="4" xfId="7" applyNumberFormat="1" applyFont="1" applyBorder="1" applyAlignment="1">
      <alignment vertical="center"/>
    </xf>
    <xf numFmtId="178" fontId="192" fillId="0" borderId="129" xfId="8" applyNumberFormat="1" applyFont="1" applyBorder="1" applyAlignment="1">
      <alignment vertical="center"/>
    </xf>
    <xf numFmtId="270" fontId="184" fillId="0" borderId="84" xfId="7" applyNumberFormat="1" applyFont="1" applyBorder="1" applyAlignment="1">
      <alignment vertical="center"/>
    </xf>
    <xf numFmtId="178" fontId="181" fillId="0" borderId="159" xfId="8" applyNumberFormat="1" applyFont="1" applyBorder="1" applyAlignment="1">
      <alignment vertical="center"/>
    </xf>
    <xf numFmtId="178" fontId="184" fillId="0" borderId="34" xfId="8" applyNumberFormat="1" applyFont="1" applyBorder="1" applyAlignment="1">
      <alignment vertical="center"/>
    </xf>
    <xf numFmtId="0" fontId="181" fillId="0" borderId="162" xfId="4" applyFont="1" applyBorder="1" applyAlignment="1">
      <alignment vertical="center"/>
    </xf>
    <xf numFmtId="0" fontId="192" fillId="89" borderId="170" xfId="0" applyFont="1" applyFill="1" applyBorder="1" applyAlignment="1">
      <alignment horizontal="center" vertical="center"/>
    </xf>
    <xf numFmtId="0" fontId="192" fillId="89" borderId="172" xfId="0" applyFont="1" applyFill="1" applyBorder="1" applyAlignment="1">
      <alignment vertical="center"/>
    </xf>
    <xf numFmtId="0" fontId="184" fillId="89" borderId="173" xfId="4" applyFont="1" applyFill="1" applyBorder="1" applyAlignment="1">
      <alignment vertical="center"/>
    </xf>
    <xf numFmtId="270" fontId="185" fillId="89" borderId="104" xfId="0" applyNumberFormat="1" applyFont="1" applyFill="1" applyBorder="1" applyAlignment="1">
      <alignment vertical="center"/>
    </xf>
    <xf numFmtId="0" fontId="192" fillId="0" borderId="112" xfId="0" applyFont="1" applyBorder="1" applyAlignment="1">
      <alignment vertical="center"/>
    </xf>
    <xf numFmtId="270" fontId="185" fillId="81" borderId="6" xfId="0" applyNumberFormat="1" applyFont="1" applyFill="1" applyBorder="1" applyAlignment="1">
      <alignment vertical="center"/>
    </xf>
    <xf numFmtId="0" fontId="184" fillId="0" borderId="0" xfId="0" applyFont="1" applyAlignment="1">
      <alignment vertical="center"/>
    </xf>
    <xf numFmtId="0" fontId="192" fillId="84" borderId="118" xfId="0" applyFont="1" applyFill="1" applyBorder="1" applyAlignment="1">
      <alignment vertical="center"/>
    </xf>
    <xf numFmtId="270" fontId="185" fillId="84" borderId="83" xfId="0" applyNumberFormat="1" applyFont="1" applyFill="1" applyBorder="1" applyAlignment="1">
      <alignment vertical="center"/>
    </xf>
    <xf numFmtId="0" fontId="184" fillId="0" borderId="107" xfId="5" applyFont="1" applyBorder="1" applyAlignment="1">
      <alignment vertical="center"/>
    </xf>
    <xf numFmtId="0" fontId="210" fillId="0" borderId="4" xfId="5" applyFont="1" applyBorder="1" applyAlignment="1">
      <alignment horizontal="center" vertical="center" wrapText="1"/>
    </xf>
    <xf numFmtId="38" fontId="184" fillId="0" borderId="6" xfId="850" applyFont="1" applyBorder="1">
      <alignment vertical="center"/>
    </xf>
    <xf numFmtId="0" fontId="184" fillId="0" borderId="85" xfId="4" applyFont="1" applyBorder="1"/>
    <xf numFmtId="0" fontId="192" fillId="0" borderId="3" xfId="5" applyFont="1" applyBorder="1" applyAlignment="1">
      <alignment horizontal="left" vertical="center"/>
    </xf>
    <xf numFmtId="0" fontId="184" fillId="0" borderId="2" xfId="4" applyFont="1" applyBorder="1" applyAlignment="1">
      <alignment horizontal="left" vertical="center"/>
    </xf>
    <xf numFmtId="0" fontId="184" fillId="89" borderId="2" xfId="4" applyFont="1" applyFill="1" applyBorder="1" applyAlignment="1">
      <alignment horizontal="left" vertical="center"/>
    </xf>
    <xf numFmtId="0" fontId="184" fillId="0" borderId="2" xfId="4" applyFont="1" applyBorder="1" applyAlignment="1">
      <alignment horizontal="left" vertical="center" wrapText="1"/>
    </xf>
    <xf numFmtId="0" fontId="184" fillId="84" borderId="2" xfId="4" applyFont="1" applyFill="1" applyBorder="1" applyAlignment="1">
      <alignment horizontal="left" vertical="center"/>
    </xf>
    <xf numFmtId="270" fontId="184" fillId="89" borderId="2" xfId="4" applyNumberFormat="1" applyFont="1" applyFill="1" applyBorder="1" applyAlignment="1">
      <alignment vertical="center"/>
    </xf>
    <xf numFmtId="270" fontId="184" fillId="84" borderId="2" xfId="4" applyNumberFormat="1" applyFont="1" applyFill="1" applyBorder="1" applyAlignment="1">
      <alignment vertical="center"/>
    </xf>
    <xf numFmtId="0" fontId="184" fillId="0" borderId="87" xfId="829" applyFont="1" applyBorder="1"/>
    <xf numFmtId="0" fontId="184" fillId="0" borderId="54" xfId="829" applyFont="1" applyBorder="1"/>
    <xf numFmtId="0" fontId="184" fillId="0" borderId="94" xfId="829" applyFont="1" applyBorder="1"/>
    <xf numFmtId="0" fontId="184" fillId="0" borderId="54" xfId="829" applyFont="1" applyBorder="1" applyAlignment="1">
      <alignment horizontal="left" vertical="center"/>
    </xf>
    <xf numFmtId="0" fontId="185" fillId="0" borderId="87" xfId="829" applyFont="1" applyBorder="1"/>
    <xf numFmtId="0" fontId="185" fillId="0" borderId="54" xfId="829" applyFont="1" applyBorder="1"/>
    <xf numFmtId="0" fontId="185" fillId="0" borderId="89" xfId="829" applyFont="1" applyBorder="1"/>
    <xf numFmtId="38" fontId="184" fillId="0" borderId="89" xfId="850" applyFont="1" applyBorder="1" applyAlignment="1"/>
    <xf numFmtId="0" fontId="184" fillId="0" borderId="54" xfId="829" applyFont="1" applyBorder="1" applyAlignment="1">
      <alignment horizontal="left"/>
    </xf>
    <xf numFmtId="0" fontId="184" fillId="0" borderId="89" xfId="829" applyFont="1" applyBorder="1" applyAlignment="1">
      <alignment wrapText="1"/>
    </xf>
    <xf numFmtId="0" fontId="184" fillId="0" borderId="89" xfId="0" applyFont="1" applyBorder="1" applyAlignment="1">
      <alignment horizontal="left"/>
    </xf>
    <xf numFmtId="0" fontId="197" fillId="0" borderId="89" xfId="0" applyFont="1" applyBorder="1" applyAlignment="1">
      <alignment horizontal="left" vertical="center"/>
    </xf>
    <xf numFmtId="0" fontId="192" fillId="84" borderId="109" xfId="8" applyFont="1" applyFill="1" applyBorder="1" applyAlignment="1">
      <alignment horizontal="center" vertical="center" wrapText="1"/>
    </xf>
    <xf numFmtId="0" fontId="186" fillId="0" borderId="20" xfId="0" applyFont="1" applyBorder="1" applyAlignment="1">
      <alignment horizontal="center" vertical="center" wrapText="1"/>
    </xf>
    <xf numFmtId="0" fontId="192" fillId="0" borderId="167" xfId="8" applyFont="1" applyBorder="1" applyAlignment="1">
      <alignment horizontal="center" vertical="center" wrapText="1"/>
    </xf>
    <xf numFmtId="0" fontId="186" fillId="0" borderId="108" xfId="0" applyFont="1" applyBorder="1" applyAlignment="1">
      <alignment horizontal="center" vertical="center" wrapText="1"/>
    </xf>
    <xf numFmtId="0" fontId="192" fillId="0" borderId="116" xfId="8" applyFont="1" applyBorder="1" applyAlignment="1">
      <alignment horizontal="center" vertical="center" wrapText="1"/>
    </xf>
    <xf numFmtId="0" fontId="186" fillId="0" borderId="117" xfId="0" applyFont="1" applyBorder="1" applyAlignment="1">
      <alignment horizontal="center" vertical="center" wrapText="1"/>
    </xf>
    <xf numFmtId="0" fontId="192" fillId="0" borderId="3" xfId="8" applyFont="1" applyBorder="1" applyAlignment="1">
      <alignment horizontal="center" vertical="center" wrapText="1"/>
    </xf>
    <xf numFmtId="0" fontId="186" fillId="0" borderId="79" xfId="0" applyFont="1" applyBorder="1" applyAlignment="1">
      <alignment horizontal="center" vertical="center" wrapText="1"/>
    </xf>
    <xf numFmtId="0" fontId="192" fillId="0" borderId="159" xfId="8" applyFont="1" applyBorder="1" applyAlignment="1">
      <alignment horizontal="center" vertical="center" wrapText="1"/>
    </xf>
    <xf numFmtId="0" fontId="186" fillId="0" borderId="160" xfId="0" applyFont="1" applyBorder="1" applyAlignment="1">
      <alignment horizontal="center" vertical="center" wrapText="1"/>
    </xf>
    <xf numFmtId="0" fontId="192" fillId="89" borderId="166" xfId="8" applyFont="1" applyFill="1" applyBorder="1" applyAlignment="1">
      <alignment horizontal="center" vertical="center" wrapText="1"/>
    </xf>
    <xf numFmtId="0" fontId="186" fillId="0" borderId="105" xfId="0" applyFont="1" applyBorder="1" applyAlignment="1">
      <alignment horizontal="center" vertical="center" wrapText="1"/>
    </xf>
    <xf numFmtId="267" fontId="185" fillId="81" borderId="116" xfId="8" applyNumberFormat="1" applyFont="1" applyFill="1" applyBorder="1" applyAlignment="1">
      <alignment horizontal="center" vertical="center"/>
    </xf>
    <xf numFmtId="0" fontId="186" fillId="0" borderId="117" xfId="0" applyFont="1" applyBorder="1" applyAlignment="1">
      <alignment horizontal="center" vertical="center"/>
    </xf>
    <xf numFmtId="267" fontId="185" fillId="81" borderId="116" xfId="4" applyNumberFormat="1" applyFont="1" applyFill="1" applyBorder="1" applyAlignment="1">
      <alignment horizontal="center" vertical="center"/>
    </xf>
    <xf numFmtId="178" fontId="185" fillId="81" borderId="175" xfId="8" applyNumberFormat="1" applyFont="1" applyFill="1" applyBorder="1" applyAlignment="1">
      <alignment horizontal="center" vertical="center"/>
    </xf>
    <xf numFmtId="0" fontId="186" fillId="0" borderId="176" xfId="0" applyFont="1" applyBorder="1" applyAlignment="1">
      <alignment horizontal="center" vertical="center"/>
    </xf>
    <xf numFmtId="0" fontId="192" fillId="0" borderId="153" xfId="8" applyFont="1" applyBorder="1" applyAlignment="1">
      <alignment horizontal="center" vertical="center" wrapText="1"/>
    </xf>
    <xf numFmtId="0" fontId="186" fillId="0" borderId="154" xfId="0" applyFont="1" applyBorder="1" applyAlignment="1">
      <alignment horizontal="center" vertical="center" wrapText="1"/>
    </xf>
    <xf numFmtId="0" fontId="185" fillId="89" borderId="163" xfId="7" applyFont="1" applyFill="1" applyBorder="1" applyAlignment="1">
      <alignment vertical="center" wrapText="1"/>
    </xf>
    <xf numFmtId="0" fontId="186" fillId="0" borderId="164" xfId="0" applyFont="1" applyBorder="1" applyAlignment="1">
      <alignment vertical="center" wrapText="1"/>
    </xf>
    <xf numFmtId="0" fontId="186" fillId="0" borderId="165" xfId="0" applyFont="1" applyBorder="1" applyAlignment="1">
      <alignment vertical="center" wrapText="1"/>
    </xf>
    <xf numFmtId="0" fontId="181" fillId="0" borderId="81" xfId="4" applyFont="1" applyBorder="1" applyAlignment="1"/>
    <xf numFmtId="0" fontId="186" fillId="0" borderId="81" xfId="0" applyFont="1" applyBorder="1" applyAlignment="1"/>
    <xf numFmtId="0" fontId="205" fillId="81" borderId="11" xfId="4" applyFont="1" applyFill="1" applyBorder="1" applyAlignment="1">
      <alignment horizontal="center" vertical="center"/>
    </xf>
    <xf numFmtId="0" fontId="206" fillId="81" borderId="12" xfId="0" applyFont="1" applyFill="1" applyBorder="1" applyAlignment="1">
      <alignment horizontal="center" vertical="center"/>
    </xf>
    <xf numFmtId="0" fontId="206" fillId="81" borderId="20" xfId="0" applyFont="1" applyFill="1" applyBorder="1" applyAlignment="1">
      <alignment horizontal="center" vertical="center"/>
    </xf>
    <xf numFmtId="0" fontId="183" fillId="80" borderId="11" xfId="5" applyFont="1" applyFill="1" applyBorder="1" applyAlignment="1">
      <alignment horizontal="center" vertical="center" wrapText="1"/>
    </xf>
    <xf numFmtId="0" fontId="189" fillId="0" borderId="12" xfId="0" applyFont="1" applyBorder="1" applyAlignment="1">
      <alignment wrapText="1"/>
    </xf>
    <xf numFmtId="0" fontId="189" fillId="0" borderId="20" xfId="0" applyFont="1" applyBorder="1" applyAlignment="1">
      <alignment wrapText="1"/>
    </xf>
    <xf numFmtId="0" fontId="183" fillId="0" borderId="0" xfId="8" applyFont="1" applyAlignment="1">
      <alignment vertical="center"/>
    </xf>
    <xf numFmtId="0" fontId="186" fillId="0" borderId="123" xfId="0" applyFont="1" applyBorder="1" applyAlignment="1">
      <alignment vertical="center"/>
    </xf>
    <xf numFmtId="177" fontId="211" fillId="79" borderId="34" xfId="851" applyNumberFormat="1" applyFont="1" applyFill="1" applyBorder="1" applyAlignment="1">
      <alignment horizontal="left" vertical="center"/>
    </xf>
    <xf numFmtId="0" fontId="186" fillId="0" borderId="24" xfId="0" applyFont="1" applyBorder="1" applyAlignment="1">
      <alignment horizontal="left" vertical="center"/>
    </xf>
    <xf numFmtId="0" fontId="200" fillId="36" borderId="11" xfId="4" applyFont="1" applyFill="1" applyBorder="1" applyAlignment="1">
      <alignment horizontal="center" vertical="center"/>
    </xf>
    <xf numFmtId="0" fontId="186" fillId="0" borderId="12" xfId="0" applyFont="1" applyBorder="1" applyAlignment="1">
      <alignment horizontal="center" vertical="center"/>
    </xf>
    <xf numFmtId="0" fontId="186" fillId="0" borderId="20" xfId="0" applyFont="1" applyBorder="1" applyAlignment="1">
      <alignment horizontal="center" vertical="center"/>
    </xf>
    <xf numFmtId="0" fontId="192" fillId="82" borderId="7" xfId="4" applyFont="1" applyFill="1" applyBorder="1" applyAlignment="1">
      <alignment horizontal="center" vertical="center" wrapText="1"/>
    </xf>
    <xf numFmtId="0" fontId="186" fillId="82" borderId="6" xfId="0" applyFont="1" applyFill="1" applyBorder="1" applyAlignment="1">
      <alignment horizontal="center" vertical="center" wrapText="1"/>
    </xf>
    <xf numFmtId="0" fontId="182" fillId="36" borderId="11" xfId="4" applyFont="1" applyFill="1" applyBorder="1" applyAlignment="1">
      <alignment horizontal="center"/>
    </xf>
    <xf numFmtId="0" fontId="189" fillId="0" borderId="12" xfId="0" applyFont="1" applyBorder="1" applyAlignment="1">
      <alignment horizontal="center"/>
    </xf>
    <xf numFmtId="0" fontId="189" fillId="0" borderId="20" xfId="0" applyFont="1" applyBorder="1" applyAlignment="1">
      <alignment horizontal="center"/>
    </xf>
    <xf numFmtId="0" fontId="185" fillId="89" borderId="119" xfId="7" applyFont="1" applyFill="1" applyBorder="1" applyAlignment="1">
      <alignment vertical="center" wrapText="1"/>
    </xf>
    <xf numFmtId="0" fontId="206" fillId="89" borderId="120" xfId="0" applyFont="1" applyFill="1" applyBorder="1" applyAlignment="1">
      <alignment vertical="center" wrapText="1"/>
    </xf>
    <xf numFmtId="0" fontId="206" fillId="89" borderId="121" xfId="0" applyFont="1" applyFill="1" applyBorder="1" applyAlignment="1">
      <alignment vertical="center" wrapText="1"/>
    </xf>
    <xf numFmtId="0" fontId="210" fillId="0" borderId="147" xfId="4" applyFont="1" applyBorder="1" applyAlignment="1">
      <alignment horizontal="center" vertical="center"/>
    </xf>
    <xf numFmtId="0" fontId="206" fillId="0" borderId="148" xfId="0" applyFont="1" applyBorder="1" applyAlignment="1">
      <alignment horizontal="center"/>
    </xf>
    <xf numFmtId="179" fontId="192" fillId="0" borderId="149" xfId="6" applyNumberFormat="1" applyFont="1" applyBorder="1" applyAlignment="1">
      <alignment horizontal="center" wrapText="1"/>
    </xf>
    <xf numFmtId="0" fontId="213" fillId="0" borderId="90" xfId="0" applyFont="1" applyBorder="1" applyAlignment="1">
      <alignment horizontal="center"/>
    </xf>
    <xf numFmtId="0" fontId="209" fillId="0" borderId="150" xfId="4" applyFont="1" applyBorder="1" applyAlignment="1">
      <alignment horizontal="left" vertical="center"/>
    </xf>
    <xf numFmtId="0" fontId="206" fillId="0" borderId="137" xfId="0" applyFont="1" applyBorder="1" applyAlignment="1">
      <alignment horizontal="left" vertical="center"/>
    </xf>
    <xf numFmtId="0" fontId="184" fillId="0" borderId="146" xfId="5" applyFont="1" applyBorder="1" applyAlignment="1" applyProtection="1">
      <alignment vertical="center" wrapText="1"/>
      <protection locked="0"/>
    </xf>
    <xf numFmtId="0" fontId="186" fillId="0" borderId="98" xfId="0" applyFont="1" applyBorder="1" applyAlignment="1">
      <alignment vertical="center"/>
    </xf>
    <xf numFmtId="0" fontId="183" fillId="79" borderId="11" xfId="5" applyFont="1" applyFill="1" applyBorder="1" applyAlignment="1">
      <alignment horizontal="center" vertical="center"/>
    </xf>
    <xf numFmtId="0" fontId="186" fillId="0" borderId="20" xfId="0" applyFont="1" applyBorder="1" applyAlignment="1">
      <alignment horizontal="center"/>
    </xf>
    <xf numFmtId="38" fontId="184" fillId="81" borderId="110" xfId="850" applyFont="1" applyFill="1" applyBorder="1" applyAlignment="1">
      <alignment horizontal="center" vertical="center"/>
    </xf>
    <xf numFmtId="0" fontId="186" fillId="0" borderId="111" xfId="0" applyFont="1" applyBorder="1" applyAlignment="1">
      <alignment vertical="center"/>
    </xf>
    <xf numFmtId="38" fontId="184" fillId="81" borderId="113" xfId="850" applyFont="1" applyFill="1" applyBorder="1" applyAlignment="1">
      <alignment horizontal="center" vertical="center"/>
    </xf>
    <xf numFmtId="0" fontId="186" fillId="0" borderId="114" xfId="0" applyFont="1" applyBorder="1" applyAlignment="1">
      <alignment vertical="center"/>
    </xf>
    <xf numFmtId="0" fontId="192" fillId="0" borderId="5" xfId="8" applyFont="1" applyBorder="1" applyAlignment="1">
      <alignment horizontal="center" vertical="center"/>
    </xf>
    <xf numFmtId="0" fontId="186" fillId="0" borderId="178" xfId="0" applyFont="1" applyBorder="1" applyAlignment="1">
      <alignment horizontal="center" vertical="center"/>
    </xf>
    <xf numFmtId="0" fontId="186" fillId="0" borderId="14" xfId="0" applyFont="1" applyBorder="1" applyAlignment="1">
      <alignment horizontal="center" vertical="center"/>
    </xf>
    <xf numFmtId="0" fontId="186" fillId="0" borderId="130" xfId="0" applyFont="1" applyBorder="1" applyAlignment="1">
      <alignment horizontal="center" vertical="center"/>
    </xf>
    <xf numFmtId="0" fontId="192" fillId="0" borderId="3" xfId="8" applyFont="1" applyBorder="1" applyAlignment="1">
      <alignment horizontal="center" vertical="center"/>
    </xf>
    <xf numFmtId="0" fontId="186" fillId="0" borderId="79" xfId="0" applyFont="1" applyBorder="1" applyAlignment="1">
      <alignment horizontal="center" vertical="center"/>
    </xf>
    <xf numFmtId="0" fontId="192" fillId="0" borderId="2" xfId="8" applyFont="1" applyBorder="1" applyAlignment="1">
      <alignment horizontal="center" vertical="center" wrapText="1"/>
    </xf>
    <xf numFmtId="0" fontId="186" fillId="0" borderId="2" xfId="0" applyFont="1" applyBorder="1" applyAlignment="1">
      <alignment horizontal="center" vertical="center" wrapText="1"/>
    </xf>
    <xf numFmtId="0" fontId="183" fillId="0" borderId="16" xfId="8" applyFont="1" applyBorder="1" applyAlignment="1">
      <alignment vertical="center"/>
    </xf>
    <xf numFmtId="0" fontId="186" fillId="0" borderId="127" xfId="0" applyFont="1" applyBorder="1" applyAlignment="1">
      <alignment vertical="center"/>
    </xf>
    <xf numFmtId="0" fontId="192" fillId="0" borderId="8" xfId="8" applyFont="1" applyBorder="1" applyAlignment="1">
      <alignment horizontal="center" vertical="center" wrapText="1"/>
    </xf>
    <xf numFmtId="0" fontId="186" fillId="0" borderId="10" xfId="0" applyFont="1" applyBorder="1" applyAlignment="1">
      <alignment horizontal="center" vertical="center" wrapText="1"/>
    </xf>
    <xf numFmtId="0" fontId="192" fillId="0" borderId="8" xfId="8" applyFont="1" applyBorder="1" applyAlignment="1">
      <alignment horizontal="center" vertical="center"/>
    </xf>
    <xf numFmtId="0" fontId="186" fillId="0" borderId="10" xfId="0" applyFont="1" applyBorder="1" applyAlignment="1">
      <alignment horizontal="center" vertical="center"/>
    </xf>
    <xf numFmtId="0" fontId="184" fillId="0" borderId="146" xfId="5" applyFont="1" applyBorder="1" applyAlignment="1">
      <alignment horizontal="left" vertical="center"/>
    </xf>
    <xf numFmtId="0" fontId="186" fillId="0" borderId="98" xfId="0" applyFont="1" applyBorder="1" applyAlignment="1">
      <alignment horizontal="left" vertical="center"/>
    </xf>
    <xf numFmtId="0" fontId="186" fillId="0" borderId="12" xfId="0" applyFont="1" applyBorder="1" applyAlignment="1">
      <alignment horizontal="center" vertical="center" wrapText="1"/>
    </xf>
    <xf numFmtId="0" fontId="183" fillId="79" borderId="23" xfId="5" applyFont="1" applyFill="1" applyBorder="1" applyAlignment="1">
      <alignment vertical="center"/>
    </xf>
    <xf numFmtId="0" fontId="189" fillId="0" borderId="34" xfId="0" applyFont="1" applyBorder="1" applyAlignment="1">
      <alignment vertical="center"/>
    </xf>
    <xf numFmtId="0" fontId="184" fillId="0" borderId="8" xfId="8" applyFont="1" applyBorder="1" applyAlignment="1">
      <alignment horizontal="center" vertical="center"/>
    </xf>
    <xf numFmtId="0" fontId="186" fillId="0" borderId="10" xfId="0" applyFont="1" applyBorder="1" applyAlignment="1">
      <alignment vertical="center"/>
    </xf>
    <xf numFmtId="38" fontId="184" fillId="81" borderId="3" xfId="850" applyFont="1" applyFill="1" applyBorder="1" applyAlignment="1">
      <alignment horizontal="center" vertical="center"/>
    </xf>
    <xf numFmtId="0" fontId="186" fillId="0" borderId="79" xfId="0" applyFont="1" applyBorder="1" applyAlignment="1">
      <alignment vertical="center"/>
    </xf>
    <xf numFmtId="0" fontId="192" fillId="0" borderId="4" xfId="8" applyFont="1" applyBorder="1" applyAlignment="1">
      <alignment horizontal="center" vertical="center" wrapText="1"/>
    </xf>
    <xf numFmtId="0" fontId="186" fillId="0" borderId="4" xfId="0" applyFont="1" applyBorder="1" applyAlignment="1">
      <alignment horizontal="center" vertical="center" wrapText="1"/>
    </xf>
    <xf numFmtId="0" fontId="192" fillId="89" borderId="170" xfId="8" applyFont="1" applyFill="1" applyBorder="1" applyAlignment="1">
      <alignment horizontal="center" vertical="center" wrapText="1"/>
    </xf>
    <xf numFmtId="0" fontId="186" fillId="89" borderId="171" xfId="0" applyFont="1" applyFill="1" applyBorder="1" applyAlignment="1">
      <alignment horizontal="center" vertical="center" wrapText="1"/>
    </xf>
    <xf numFmtId="0" fontId="185" fillId="0" borderId="0" xfId="0" applyFont="1" applyAlignment="1">
      <alignment horizontal="center" vertical="center"/>
    </xf>
    <xf numFmtId="0" fontId="186" fillId="0" borderId="0" xfId="0" applyFont="1" applyAlignment="1"/>
    <xf numFmtId="0" fontId="185" fillId="0" borderId="7" xfId="829" applyFont="1" applyBorder="1" applyAlignment="1">
      <alignment vertical="center"/>
    </xf>
    <xf numFmtId="0" fontId="187" fillId="0" borderId="6" xfId="829" applyFont="1" applyBorder="1" applyAlignment="1">
      <alignment vertical="center"/>
    </xf>
  </cellXfs>
  <cellStyles count="855">
    <cellStyle name="_x0013_" xfId="11" xr:uid="{00000000-0005-0000-0000-000000000000}"/>
    <cellStyle name=" 1" xfId="12" xr:uid="{00000000-0005-0000-0000-000001000000}"/>
    <cellStyle name="_x000d__x000a_JournalTemplate=C:\COMFO\CTALK\JOURSTD.TPL_x000d__x000a_LbStateAddress=3 3 0 251 1 89 2 311_x000d__x000a_LbStateJou" xfId="13" xr:uid="{00000000-0005-0000-0000-000002000000}"/>
    <cellStyle name="#" xfId="14" xr:uid="{00000000-0005-0000-0000-000003000000}"/>
    <cellStyle name="%" xfId="15" xr:uid="{00000000-0005-0000-0000-000004000000}"/>
    <cellStyle name="%c3" xfId="16" xr:uid="{00000000-0005-0000-0000-000005000000}"/>
    <cellStyle name="%c4" xfId="17" xr:uid="{00000000-0005-0000-0000-000006000000}"/>
    <cellStyle name=".Comma" xfId="18" xr:uid="{00000000-0005-0000-0000-000007000000}"/>
    <cellStyle name=".Currency" xfId="19" xr:uid="{00000000-0005-0000-0000-000008000000}"/>
    <cellStyle name="_2004 Budget Cash Flow v2" xfId="20" xr:uid="{00000000-0005-0000-0000-000009000000}"/>
    <cellStyle name="_2006-12-18_Granite Ridge Workbook - distributed (Beck Format)(REV)" xfId="21" xr:uid="{00000000-0005-0000-0000-00000A000000}"/>
    <cellStyle name="_2006-12-18_Granite Ridge Workbook - distributed (Beck Format)(REV)_Granite Ridge Cash Flow Model B28" xfId="22" xr:uid="{00000000-0005-0000-0000-00000B000000}"/>
    <cellStyle name="_2006-12-18_Granite Ridge Workbook - distributed (Beck Format)(REV)_Granite Ridge Opco" xfId="23" xr:uid="{00000000-0005-0000-0000-00000C000000}"/>
    <cellStyle name="_2006-12-18_Granite Ridge Workbook - distributed (Beck Format)(REV)_GRE_Performance_Reconcilliation" xfId="24" xr:uid="{00000000-0005-0000-0000-00000D000000}"/>
    <cellStyle name="_2006-12-18_Granite Ridge Workbook - distributed (Beck Format)(REV)_Projections" xfId="25" xr:uid="{00000000-0005-0000-0000-00000E000000}"/>
    <cellStyle name="_CEEMI " xfId="26" xr:uid="{00000000-0005-0000-0000-00000F000000}"/>
    <cellStyle name="_CEEMI Expansion" xfId="27" xr:uid="{00000000-0005-0000-0000-000010000000}"/>
    <cellStyle name="_Check" xfId="28" xr:uid="{00000000-0005-0000-0000-000011000000}"/>
    <cellStyle name="_Check-Newington" xfId="29" xr:uid="{00000000-0005-0000-0000-000012000000}"/>
    <cellStyle name="_ConEd_O&amp;M_Model16" xfId="30" xr:uid="{00000000-0005-0000-0000-000013000000}"/>
    <cellStyle name="_Copy of ICF Unit Template_WGP- 011408" xfId="31" xr:uid="{00000000-0005-0000-0000-000014000000}"/>
    <cellStyle name="_Fox 2008 Indicative Bid Model_v1" xfId="32" xr:uid="{00000000-0005-0000-0000-000015000000}"/>
    <cellStyle name="_Fox 2008 Indicative Bid Model_v2" xfId="33" xr:uid="{00000000-0005-0000-0000-000016000000}"/>
    <cellStyle name="_Fox 2008 Indicative Bid Model_v4" xfId="34" xr:uid="{00000000-0005-0000-0000-000017000000}"/>
    <cellStyle name="_Fox 2008 Indicative Bid Model_v5" xfId="35" xr:uid="{00000000-0005-0000-0000-000018000000}"/>
    <cellStyle name="_Fox 2008 Indicative Bid Model_v6" xfId="36" xr:uid="{00000000-0005-0000-0000-000019000000}"/>
    <cellStyle name="_Fox 2008 Indicative Bid Model_v6_WGP (2)" xfId="37" xr:uid="{00000000-0005-0000-0000-00001A000000}"/>
    <cellStyle name="_fox_model_v2" xfId="38" xr:uid="{00000000-0005-0000-0000-00001B000000}"/>
    <cellStyle name="_fox_model_v8" xfId="39" xr:uid="{00000000-0005-0000-0000-00001C000000}"/>
    <cellStyle name="_GR_Budget_2004 working copy 12-03-03 odyssey GM Bank v10" xfId="40" xr:uid="{00000000-0005-0000-0000-00001D000000}"/>
    <cellStyle name="_Granite Ridge 2007 27 (Clean)" xfId="41" xr:uid="{00000000-0005-0000-0000-00001E000000}"/>
    <cellStyle name="_Granite Ridge 2007 27 (Clean)_Granite Ridge Cash Flow Model B28" xfId="42" xr:uid="{00000000-0005-0000-0000-00001F000000}"/>
    <cellStyle name="_Granite Ridge 2007 27 (Clean)_Granite Ridge Opco" xfId="43" xr:uid="{00000000-0005-0000-0000-000020000000}"/>
    <cellStyle name="_Granite Ridge 2007 27 (Clean)_GRE_Performance_Reconcilliation" xfId="44" xr:uid="{00000000-0005-0000-0000-000021000000}"/>
    <cellStyle name="_Granite Ridge Cash Flow Model B37" xfId="45" xr:uid="{00000000-0005-0000-0000-000022000000}"/>
    <cellStyle name="_GRE Trial Balance 11-30-07" xfId="46" xr:uid="{00000000-0005-0000-0000-000023000000}"/>
    <cellStyle name="_GRE_Performance_Reconcilliation" xfId="47" xr:uid="{00000000-0005-0000-0000-000024000000}"/>
    <cellStyle name="_Lakewood " xfId="48" xr:uid="{00000000-0005-0000-0000-000025000000}"/>
    <cellStyle name="_MISO 2008 Ringi Model v3" xfId="49" xr:uid="{00000000-0005-0000-0000-000026000000}"/>
    <cellStyle name="_MISO 2008 Ringi Model v4" xfId="50" xr:uid="{00000000-0005-0000-0000-000027000000}"/>
    <cellStyle name="_MPIITemplate_Working" xfId="51" xr:uid="{00000000-0005-0000-0000-000028000000}"/>
    <cellStyle name="_New PATRAC Calculation R" xfId="52" xr:uid="{00000000-0005-0000-0000-000029000000}"/>
    <cellStyle name="_Newington " xfId="53" xr:uid="{00000000-0005-0000-0000-00002A000000}"/>
    <cellStyle name="_Notes" xfId="54" xr:uid="{00000000-0005-0000-0000-00002B000000}"/>
    <cellStyle name="_Notes and Inputs" xfId="55" xr:uid="{00000000-0005-0000-0000-00002C000000}"/>
    <cellStyle name="_Ocean Peaking " xfId="56" xr:uid="{00000000-0005-0000-0000-00002D000000}"/>
    <cellStyle name="_OM output template" xfId="57" xr:uid="{00000000-0005-0000-0000-00002E000000}"/>
    <cellStyle name="_Payroll-SummaryComp" xfId="58" xr:uid="{00000000-0005-0000-0000-00002F000000}"/>
    <cellStyle name="_Perpetual Templates_v1" xfId="59" xr:uid="{00000000-0005-0000-0000-000030000000}"/>
    <cellStyle name="_PPE Roll Forward w Detail" xfId="60" xr:uid="{00000000-0005-0000-0000-000031000000}"/>
    <cellStyle name="_Project Dalmeny_Marubeni Ringi Model_draft_v1" xfId="61" xr:uid="{00000000-0005-0000-0000-000032000000}"/>
    <cellStyle name="_Project Dalmeny_Marubeni Ringi Model_draft_v2" xfId="62" xr:uid="{00000000-0005-0000-0000-000033000000}"/>
    <cellStyle name="_Project Dalmeny_Marubeni Ringi Model_draft_v3" xfId="63" xr:uid="{00000000-0005-0000-0000-000034000000}"/>
    <cellStyle name="_Project Dalmeny_Marubeni Ringi Model_draft_v4" xfId="64" xr:uid="{00000000-0005-0000-0000-000035000000}"/>
    <cellStyle name="_Project Dalmeny_Marubeni Ringi Model_draft_v6" xfId="65" xr:uid="{00000000-0005-0000-0000-000036000000}"/>
    <cellStyle name="_Project Dalmeny_Marubeni Ringi Model_draft_v8" xfId="66" xr:uid="{00000000-0005-0000-0000-000037000000}"/>
    <cellStyle name="_Project Dalmeny_Marubeni Ringi Model_v1" xfId="67" xr:uid="{00000000-0005-0000-0000-000038000000}"/>
    <cellStyle name="_Project Dalmeny_Marubeni Ringi Model_v3" xfId="68" xr:uid="{00000000-0005-0000-0000-000039000000}"/>
    <cellStyle name="_Project Dalmeny_Marubeni Ringi Model_v4" xfId="69" xr:uid="{00000000-0005-0000-0000-00003A000000}"/>
    <cellStyle name="_Project Dalmeny_Marubeni Ringi Model_v6" xfId="70" xr:uid="{00000000-0005-0000-0000-00003B000000}"/>
    <cellStyle name="_Project Dalmeny_Marubeni Ringi Model_v7" xfId="71" xr:uid="{00000000-0005-0000-0000-00003C000000}"/>
    <cellStyle name="_Project Dalmeny_Marubeni Ringi Model_v8" xfId="72" xr:uid="{00000000-0005-0000-0000-00003D000000}"/>
    <cellStyle name="_Project Dalmeny_Marubeni RINGI_v7" xfId="73" xr:uid="{00000000-0005-0000-0000-00003E000000}"/>
    <cellStyle name="_Projections" xfId="74" xr:uid="{00000000-0005-0000-0000-00003F000000}"/>
    <cellStyle name="_Rock Springs " xfId="75" xr:uid="{00000000-0005-0000-0000-000040000000}"/>
    <cellStyle name="_Roll Stock Model_10.0_02-09-05 (RF)" xfId="76" xr:uid="{00000000-0005-0000-0000-000041000000}"/>
    <cellStyle name="_Technical Assumption" xfId="77" xr:uid="{00000000-0005-0000-0000-000042000000}"/>
    <cellStyle name="_Technical Assumption_Book1" xfId="78" xr:uid="{00000000-0005-0000-0000-000043000000}"/>
    <cellStyle name="_Technical Assumption_Con Ed Cash Flow Model T23" xfId="79" xr:uid="{00000000-0005-0000-0000-000044000000}"/>
    <cellStyle name="_Technical Assumption_Con Ed Cash Flow Model T24" xfId="80" xr:uid="{00000000-0005-0000-0000-000045000000}"/>
    <cellStyle name="_Technical Assumption_Con Ed Cash Flow Model V" xfId="81" xr:uid="{00000000-0005-0000-0000-000046000000}"/>
    <cellStyle name="_Technical Assumption_Con Ed Cash Flow Model V2" xfId="82" xr:uid="{00000000-0005-0000-0000-000047000000}"/>
    <cellStyle name="_Technical Assumption_Con Ed Cash Flow Model V5" xfId="83" xr:uid="{00000000-0005-0000-0000-000048000000}"/>
    <cellStyle name="_Technical Assumption_Con Ed Cash Flow Model V6" xfId="84" xr:uid="{00000000-0005-0000-0000-000049000000}"/>
    <cellStyle name="_Technical Assumption_Con Ed Cash Flow Model V7+++" xfId="85" xr:uid="{00000000-0005-0000-0000-00004A000000}"/>
    <cellStyle name="_Technical Assumption_Con Ed Cash Flow Model V9A" xfId="86" xr:uid="{00000000-0005-0000-0000-00004B000000}"/>
    <cellStyle name="_Technical Assumption_Con Ed Cash Flow Model V9AB" xfId="87" xr:uid="{00000000-0005-0000-0000-00004C000000}"/>
    <cellStyle name="_Technical Assumption_Con Ed Cash Flow Model W16(RA Revised)" xfId="88" xr:uid="{00000000-0005-0000-0000-00004D000000}"/>
    <cellStyle name="_Technical Assumption_Con Ed Cash Flow Model W5" xfId="89" xr:uid="{00000000-0005-0000-0000-00004E000000}"/>
    <cellStyle name="_Technical Assumption_Con Ed Cash Flow Model W6" xfId="90" xr:uid="{00000000-0005-0000-0000-00004F000000}"/>
    <cellStyle name="_Technical Assumption_Con Ed Cash Flow Model W6.1" xfId="91" xr:uid="{00000000-0005-0000-0000-000050000000}"/>
    <cellStyle name="_Technical Assumption_Con Ed Cash Flow Model W8" xfId="92" xr:uid="{00000000-0005-0000-0000-000051000000}"/>
    <cellStyle name="_Technical Assumption_Con Ed Cash Flow Model X12 (Final Bid_ Revised 11_26_07)" xfId="93" xr:uid="{00000000-0005-0000-0000-000052000000}"/>
    <cellStyle name="_Technical Assumption_Granite Ridge Cash Flow Model B28" xfId="94" xr:uid="{00000000-0005-0000-0000-000053000000}"/>
    <cellStyle name="_Technical Assumption_Granite Ridge Opco" xfId="95" xr:uid="{00000000-0005-0000-0000-000054000000}"/>
    <cellStyle name="_Technical Assumption_GRE_Performance_Reconcilliation" xfId="96" xr:uid="{00000000-0005-0000-0000-000055000000}"/>
    <cellStyle name="=C:\WINNT\SYSTEM32\COMMAND.COM" xfId="97" xr:uid="{00000000-0005-0000-0000-000056000000}"/>
    <cellStyle name="=C:\WINNT35\SYSTEM32\COMMAND.COM" xfId="98" xr:uid="{00000000-0005-0000-0000-000057000000}"/>
    <cellStyle name="0" xfId="99" xr:uid="{00000000-0005-0000-0000-000058000000}"/>
    <cellStyle name="0,000" xfId="100" xr:uid="{00000000-0005-0000-0000-000059000000}"/>
    <cellStyle name="0_0702IPP Review Report" xfId="101" xr:uid="{00000000-0005-0000-0000-00005A000000}"/>
    <cellStyle name="0_Pittsfield_analysisApr02" xfId="102" xr:uid="{00000000-0005-0000-0000-00005B000000}"/>
    <cellStyle name="0_Pittsfield_analysisFeb02" xfId="103" xr:uid="{00000000-0005-0000-0000-00005C000000}"/>
    <cellStyle name="0_Pittsfield_analysisJuly02" xfId="104" xr:uid="{00000000-0005-0000-0000-00005D000000}"/>
    <cellStyle name="0_Pittsfield_analysisJune02" xfId="105" xr:uid="{00000000-0005-0000-0000-00005E000000}"/>
    <cellStyle name="0_Pittsfield_analysisMar02" xfId="106" xr:uid="{00000000-0005-0000-0000-00005F000000}"/>
    <cellStyle name="0_Pittsfield_analysisMay02" xfId="107" xr:uid="{00000000-0005-0000-0000-000060000000}"/>
    <cellStyle name="0_Pittsfield_analysisMay021" xfId="108" xr:uid="{00000000-0005-0000-0000-000061000000}"/>
    <cellStyle name="0_preview_analysis0809" xfId="109" xr:uid="{00000000-0005-0000-0000-000062000000}"/>
    <cellStyle name="0_spot1298" xfId="110" xr:uid="{00000000-0005-0000-0000-000063000000}"/>
    <cellStyle name="20% - Accent1" xfId="111" xr:uid="{00000000-0005-0000-0000-000064000000}"/>
    <cellStyle name="20% - Accent1 2" xfId="112" xr:uid="{00000000-0005-0000-0000-000065000000}"/>
    <cellStyle name="20% - Accent2" xfId="113" xr:uid="{00000000-0005-0000-0000-000066000000}"/>
    <cellStyle name="20% - Accent2 2" xfId="114" xr:uid="{00000000-0005-0000-0000-000067000000}"/>
    <cellStyle name="20% - Accent3" xfId="115" xr:uid="{00000000-0005-0000-0000-000068000000}"/>
    <cellStyle name="20% - Accent3 2" xfId="116" xr:uid="{00000000-0005-0000-0000-000069000000}"/>
    <cellStyle name="20% - Accent4" xfId="117" xr:uid="{00000000-0005-0000-0000-00006A000000}"/>
    <cellStyle name="20% - Accent4 2" xfId="118" xr:uid="{00000000-0005-0000-0000-00006B000000}"/>
    <cellStyle name="20% - Accent5" xfId="119" xr:uid="{00000000-0005-0000-0000-00006C000000}"/>
    <cellStyle name="20% - Accent5 2" xfId="120" xr:uid="{00000000-0005-0000-0000-00006D000000}"/>
    <cellStyle name="20% - Accent6" xfId="121" xr:uid="{00000000-0005-0000-0000-00006E000000}"/>
    <cellStyle name="20% - Accent6 2" xfId="122" xr:uid="{00000000-0005-0000-0000-00006F000000}"/>
    <cellStyle name="20% - アクセント 1 2" xfId="123" xr:uid="{00000000-0005-0000-0000-000070000000}"/>
    <cellStyle name="20% - アクセント 1 2 2" xfId="124" xr:uid="{00000000-0005-0000-0000-000071000000}"/>
    <cellStyle name="20% - アクセント 2 2" xfId="125" xr:uid="{00000000-0005-0000-0000-000072000000}"/>
    <cellStyle name="20% - アクセント 2 2 2" xfId="126" xr:uid="{00000000-0005-0000-0000-000073000000}"/>
    <cellStyle name="20% - アクセント 3 2" xfId="127" xr:uid="{00000000-0005-0000-0000-000074000000}"/>
    <cellStyle name="20% - アクセント 3 2 2" xfId="128" xr:uid="{00000000-0005-0000-0000-000075000000}"/>
    <cellStyle name="20% - アクセント 4 2" xfId="129" xr:uid="{00000000-0005-0000-0000-000076000000}"/>
    <cellStyle name="20% - アクセント 4 2 2" xfId="130" xr:uid="{00000000-0005-0000-0000-000077000000}"/>
    <cellStyle name="20% - アクセント 5 2" xfId="131" xr:uid="{00000000-0005-0000-0000-000078000000}"/>
    <cellStyle name="20% - アクセント 5 2 2" xfId="132" xr:uid="{00000000-0005-0000-0000-000079000000}"/>
    <cellStyle name="20% - アクセント 6 2" xfId="133" xr:uid="{00000000-0005-0000-0000-00007A000000}"/>
    <cellStyle name="20% - アクセント 6 2 2" xfId="134" xr:uid="{00000000-0005-0000-0000-00007B000000}"/>
    <cellStyle name="40% - Accent1" xfId="135" xr:uid="{00000000-0005-0000-0000-00007C000000}"/>
    <cellStyle name="40% - Accent1 2" xfId="136" xr:uid="{00000000-0005-0000-0000-00007D000000}"/>
    <cellStyle name="40% - Accent2" xfId="137" xr:uid="{00000000-0005-0000-0000-00007E000000}"/>
    <cellStyle name="40% - Accent2 2" xfId="138" xr:uid="{00000000-0005-0000-0000-00007F000000}"/>
    <cellStyle name="40% - Accent3" xfId="139" xr:uid="{00000000-0005-0000-0000-000080000000}"/>
    <cellStyle name="40% - Accent3 2" xfId="140" xr:uid="{00000000-0005-0000-0000-000081000000}"/>
    <cellStyle name="40% - Accent4" xfId="141" xr:uid="{00000000-0005-0000-0000-000082000000}"/>
    <cellStyle name="40% - Accent4 2" xfId="142" xr:uid="{00000000-0005-0000-0000-000083000000}"/>
    <cellStyle name="40% - Accent5" xfId="143" xr:uid="{00000000-0005-0000-0000-000084000000}"/>
    <cellStyle name="40% - Accent5 2" xfId="144" xr:uid="{00000000-0005-0000-0000-000085000000}"/>
    <cellStyle name="40% - Accent6" xfId="145" xr:uid="{00000000-0005-0000-0000-000086000000}"/>
    <cellStyle name="40% - Accent6 2" xfId="146" xr:uid="{00000000-0005-0000-0000-000087000000}"/>
    <cellStyle name="40% - アクセント 1 2" xfId="147" xr:uid="{00000000-0005-0000-0000-000088000000}"/>
    <cellStyle name="40% - アクセント 1 2 2" xfId="148" xr:uid="{00000000-0005-0000-0000-000089000000}"/>
    <cellStyle name="40% - アクセント 2 2" xfId="149" xr:uid="{00000000-0005-0000-0000-00008A000000}"/>
    <cellStyle name="40% - アクセント 2 2 2" xfId="150" xr:uid="{00000000-0005-0000-0000-00008B000000}"/>
    <cellStyle name="40% - アクセント 3 2" xfId="151" xr:uid="{00000000-0005-0000-0000-00008C000000}"/>
    <cellStyle name="40% - アクセント 3 2 2" xfId="152" xr:uid="{00000000-0005-0000-0000-00008D000000}"/>
    <cellStyle name="40% - アクセント 4 2" xfId="153" xr:uid="{00000000-0005-0000-0000-00008E000000}"/>
    <cellStyle name="40% - アクセント 4 2 2" xfId="154" xr:uid="{00000000-0005-0000-0000-00008F000000}"/>
    <cellStyle name="40% - アクセント 5 2" xfId="155" xr:uid="{00000000-0005-0000-0000-000090000000}"/>
    <cellStyle name="40% - アクセント 5 2 2" xfId="156" xr:uid="{00000000-0005-0000-0000-000091000000}"/>
    <cellStyle name="40% - アクセント 6 2" xfId="157" xr:uid="{00000000-0005-0000-0000-000092000000}"/>
    <cellStyle name="40% - アクセント 6 2 2" xfId="158" xr:uid="{00000000-0005-0000-0000-000093000000}"/>
    <cellStyle name="60% - Accent1" xfId="159" xr:uid="{00000000-0005-0000-0000-000094000000}"/>
    <cellStyle name="60% - Accent2" xfId="160" xr:uid="{00000000-0005-0000-0000-000095000000}"/>
    <cellStyle name="60% - Accent3" xfId="161" xr:uid="{00000000-0005-0000-0000-000096000000}"/>
    <cellStyle name="60% - Accent4" xfId="162" xr:uid="{00000000-0005-0000-0000-000097000000}"/>
    <cellStyle name="60% - Accent5" xfId="163" xr:uid="{00000000-0005-0000-0000-000098000000}"/>
    <cellStyle name="60% - Accent6" xfId="164" xr:uid="{00000000-0005-0000-0000-000099000000}"/>
    <cellStyle name="60% - アクセント 1 2" xfId="165" xr:uid="{00000000-0005-0000-0000-00009A000000}"/>
    <cellStyle name="60% - アクセント 1 2 2" xfId="166" xr:uid="{00000000-0005-0000-0000-00009B000000}"/>
    <cellStyle name="60% - アクセント 2 2" xfId="167" xr:uid="{00000000-0005-0000-0000-00009C000000}"/>
    <cellStyle name="60% - アクセント 2 2 2" xfId="168" xr:uid="{00000000-0005-0000-0000-00009D000000}"/>
    <cellStyle name="60% - アクセント 3 2" xfId="169" xr:uid="{00000000-0005-0000-0000-00009E000000}"/>
    <cellStyle name="60% - アクセント 3 2 2" xfId="170" xr:uid="{00000000-0005-0000-0000-00009F000000}"/>
    <cellStyle name="60% - アクセント 4 2" xfId="171" xr:uid="{00000000-0005-0000-0000-0000A0000000}"/>
    <cellStyle name="60% - アクセント 4 2 2" xfId="172" xr:uid="{00000000-0005-0000-0000-0000A1000000}"/>
    <cellStyle name="60% - アクセント 5 2" xfId="173" xr:uid="{00000000-0005-0000-0000-0000A2000000}"/>
    <cellStyle name="60% - アクセント 5 2 2" xfId="174" xr:uid="{00000000-0005-0000-0000-0000A3000000}"/>
    <cellStyle name="60% - アクセント 6 2" xfId="175" xr:uid="{00000000-0005-0000-0000-0000A4000000}"/>
    <cellStyle name="60% - アクセント 6 2 2" xfId="176" xr:uid="{00000000-0005-0000-0000-0000A5000000}"/>
    <cellStyle name="AA-Heading" xfId="177" xr:uid="{00000000-0005-0000-0000-0000A6000000}"/>
    <cellStyle name="AA-Heading 2" xfId="178" xr:uid="{00000000-0005-0000-0000-0000A7000000}"/>
    <cellStyle name="AA-Input" xfId="179" xr:uid="{00000000-0005-0000-0000-0000A8000000}"/>
    <cellStyle name="Accent1" xfId="180" xr:uid="{00000000-0005-0000-0000-0000A9000000}"/>
    <cellStyle name="Accent2" xfId="181" xr:uid="{00000000-0005-0000-0000-0000AA000000}"/>
    <cellStyle name="Accent3" xfId="182" xr:uid="{00000000-0005-0000-0000-0000AB000000}"/>
    <cellStyle name="Accent4" xfId="183" xr:uid="{00000000-0005-0000-0000-0000AC000000}"/>
    <cellStyle name="Accent5" xfId="184" xr:uid="{00000000-0005-0000-0000-0000AD000000}"/>
    <cellStyle name="Accent6" xfId="185" xr:uid="{00000000-0005-0000-0000-0000AE000000}"/>
    <cellStyle name="Actual Date" xfId="186" xr:uid="{00000000-0005-0000-0000-0000AF000000}"/>
    <cellStyle name="AFE" xfId="187" xr:uid="{00000000-0005-0000-0000-0000B0000000}"/>
    <cellStyle name="args.style" xfId="188" xr:uid="{00000000-0005-0000-0000-0000B1000000}"/>
    <cellStyle name="AS Input Middle Currency" xfId="189" xr:uid="{00000000-0005-0000-0000-0000B2000000}"/>
    <cellStyle name="AS Input Middle Date" xfId="190" xr:uid="{00000000-0005-0000-0000-0000B3000000}"/>
    <cellStyle name="AS Input Middle Multiple" xfId="191" xr:uid="{00000000-0005-0000-0000-0000B4000000}"/>
    <cellStyle name="AS Input Middle Number" xfId="192" xr:uid="{00000000-0005-0000-0000-0000B5000000}"/>
    <cellStyle name="AS Input Middle Percentage" xfId="193" xr:uid="{00000000-0005-0000-0000-0000B6000000}"/>
    <cellStyle name="AS Input Middle Title / Name" xfId="194" xr:uid="{00000000-0005-0000-0000-0000B7000000}"/>
    <cellStyle name="AS Input Middle Year" xfId="195" xr:uid="{00000000-0005-0000-0000-0000B8000000}"/>
    <cellStyle name="ASI Currency" xfId="196" xr:uid="{00000000-0005-0000-0000-0000B9000000}"/>
    <cellStyle name="ASI Date" xfId="197" xr:uid="{00000000-0005-0000-0000-0000BA000000}"/>
    <cellStyle name="ASI Heading 1" xfId="198" xr:uid="{00000000-0005-0000-0000-0000BB000000}"/>
    <cellStyle name="ASI Heading 2" xfId="199" xr:uid="{00000000-0005-0000-0000-0000BC000000}"/>
    <cellStyle name="ASI Heading 3" xfId="200" xr:uid="{00000000-0005-0000-0000-0000BD000000}"/>
    <cellStyle name="ASI Heading 4" xfId="201" xr:uid="{00000000-0005-0000-0000-0000BE000000}"/>
    <cellStyle name="ASI Multiple" xfId="202" xr:uid="{00000000-0005-0000-0000-0000BF000000}"/>
    <cellStyle name="ASI Number" xfId="203" xr:uid="{00000000-0005-0000-0000-0000C0000000}"/>
    <cellStyle name="ASI Percentage" xfId="204" xr:uid="{00000000-0005-0000-0000-0000C1000000}"/>
    <cellStyle name="ASI Sheet Title" xfId="205" xr:uid="{00000000-0005-0000-0000-0000C2000000}"/>
    <cellStyle name="ASI Title / Name" xfId="206" xr:uid="{00000000-0005-0000-0000-0000C3000000}"/>
    <cellStyle name="ASI Year" xfId="207" xr:uid="{00000000-0005-0000-0000-0000C4000000}"/>
    <cellStyle name="ASO Company Name" xfId="208" xr:uid="{00000000-0005-0000-0000-0000C5000000}"/>
    <cellStyle name="ASO Currency" xfId="209" xr:uid="{00000000-0005-0000-0000-0000C6000000}"/>
    <cellStyle name="ASO Date" xfId="210" xr:uid="{00000000-0005-0000-0000-0000C7000000}"/>
    <cellStyle name="ASO Heading 1" xfId="211" xr:uid="{00000000-0005-0000-0000-0000C8000000}"/>
    <cellStyle name="ASO Heading 2" xfId="212" xr:uid="{00000000-0005-0000-0000-0000C9000000}"/>
    <cellStyle name="ASO Heading 3" xfId="213" xr:uid="{00000000-0005-0000-0000-0000CA000000}"/>
    <cellStyle name="ASO Heading 4" xfId="214" xr:uid="{00000000-0005-0000-0000-0000CB000000}"/>
    <cellStyle name="ASO Link Cell" xfId="215" xr:uid="{00000000-0005-0000-0000-0000CC000000}"/>
    <cellStyle name="ASO Multiple" xfId="216" xr:uid="{00000000-0005-0000-0000-0000CD000000}"/>
    <cellStyle name="ASO Number" xfId="217" xr:uid="{00000000-0005-0000-0000-0000CE000000}"/>
    <cellStyle name="ASO Percentage" xfId="218" xr:uid="{00000000-0005-0000-0000-0000CF000000}"/>
    <cellStyle name="ASO Title / Name" xfId="219" xr:uid="{00000000-0005-0000-0000-0000D0000000}"/>
    <cellStyle name="ASO Year" xfId="220" xr:uid="{00000000-0005-0000-0000-0000D1000000}"/>
    <cellStyle name="Assumptions Center Currency" xfId="221" xr:uid="{00000000-0005-0000-0000-0000D2000000}"/>
    <cellStyle name="Assumptions Center Date" xfId="222" xr:uid="{00000000-0005-0000-0000-0000D3000000}"/>
    <cellStyle name="Assumptions Center Multiple" xfId="223" xr:uid="{00000000-0005-0000-0000-0000D4000000}"/>
    <cellStyle name="Assumptions Center Number" xfId="224" xr:uid="{00000000-0005-0000-0000-0000D5000000}"/>
    <cellStyle name="Assumptions Center Percentage" xfId="225" xr:uid="{00000000-0005-0000-0000-0000D6000000}"/>
    <cellStyle name="Assumptions Center Year" xfId="226" xr:uid="{00000000-0005-0000-0000-0000D7000000}"/>
    <cellStyle name="Assumptions Forecast Currency" xfId="227" xr:uid="{00000000-0005-0000-0000-0000D8000000}"/>
    <cellStyle name="Assumptions Forecast Date" xfId="228" xr:uid="{00000000-0005-0000-0000-0000D9000000}"/>
    <cellStyle name="Assumptions Forecast Multiple" xfId="229" xr:uid="{00000000-0005-0000-0000-0000DA000000}"/>
    <cellStyle name="Assumptions Forecast Number" xfId="230" xr:uid="{00000000-0005-0000-0000-0000DB000000}"/>
    <cellStyle name="Assumptions Forecast Percentage" xfId="231" xr:uid="{00000000-0005-0000-0000-0000DC000000}"/>
    <cellStyle name="Assumptions Forecast Title / Name" xfId="232" xr:uid="{00000000-0005-0000-0000-0000DD000000}"/>
    <cellStyle name="Assumptions Forecast Year" xfId="233" xr:uid="{00000000-0005-0000-0000-0000DE000000}"/>
    <cellStyle name="Assumptions Heading" xfId="234" xr:uid="{00000000-0005-0000-0000-0000DF000000}"/>
    <cellStyle name="Assumptions Middle Currency" xfId="235" xr:uid="{00000000-0005-0000-0000-0000E0000000}"/>
    <cellStyle name="Assumptions Middle Date" xfId="236" xr:uid="{00000000-0005-0000-0000-0000E1000000}"/>
    <cellStyle name="Assumptions Middle Multiple" xfId="237" xr:uid="{00000000-0005-0000-0000-0000E2000000}"/>
    <cellStyle name="Assumptions Middle Number" xfId="238" xr:uid="{00000000-0005-0000-0000-0000E3000000}"/>
    <cellStyle name="Assumptions Middle Percentage" xfId="239" xr:uid="{00000000-0005-0000-0000-0000E4000000}"/>
    <cellStyle name="Assumptions Middle Title / Name" xfId="240" xr:uid="{00000000-0005-0000-0000-0000E5000000}"/>
    <cellStyle name="Assumptions Middle Year" xfId="241" xr:uid="{00000000-0005-0000-0000-0000E6000000}"/>
    <cellStyle name="Assumptions Right Currency" xfId="242" xr:uid="{00000000-0005-0000-0000-0000E7000000}"/>
    <cellStyle name="Assumptions Right Date" xfId="243" xr:uid="{00000000-0005-0000-0000-0000E8000000}"/>
    <cellStyle name="Assumptions Right Multiple" xfId="244" xr:uid="{00000000-0005-0000-0000-0000E9000000}"/>
    <cellStyle name="Assumptions Right Number" xfId="245" xr:uid="{00000000-0005-0000-0000-0000EA000000}"/>
    <cellStyle name="Assumptions Right Percentage" xfId="246" xr:uid="{00000000-0005-0000-0000-0000EB000000}"/>
    <cellStyle name="Assumptions Right Year" xfId="247" xr:uid="{00000000-0005-0000-0000-0000EC000000}"/>
    <cellStyle name="B1L" xfId="248" xr:uid="{00000000-0005-0000-0000-0000ED000000}"/>
    <cellStyle name="b4" xfId="249" xr:uid="{00000000-0005-0000-0000-0000EE000000}"/>
    <cellStyle name="Bad" xfId="250" xr:uid="{00000000-0005-0000-0000-0000EF000000}"/>
    <cellStyle name="Basis Points" xfId="251" xr:uid="{00000000-0005-0000-0000-0000F0000000}"/>
    <cellStyle name="BB1" xfId="252" xr:uid="{00000000-0005-0000-0000-0000F1000000}"/>
    <cellStyle name="BB1 2" xfId="253" xr:uid="{00000000-0005-0000-0000-0000F2000000}"/>
    <cellStyle name="BB1 3" xfId="254" xr:uid="{00000000-0005-0000-0000-0000F3000000}"/>
    <cellStyle name="BB2" xfId="255" xr:uid="{00000000-0005-0000-0000-0000F4000000}"/>
    <cellStyle name="BBL2" xfId="256" xr:uid="{00000000-0005-0000-0000-0000F5000000}"/>
    <cellStyle name="BL1" xfId="257" xr:uid="{00000000-0005-0000-0000-0000F6000000}"/>
    <cellStyle name="BL1 2" xfId="258" xr:uid="{00000000-0005-0000-0000-0000F7000000}"/>
    <cellStyle name="BL1 3" xfId="259" xr:uid="{00000000-0005-0000-0000-0000F8000000}"/>
    <cellStyle name="BL2" xfId="260" xr:uid="{00000000-0005-0000-0000-0000F9000000}"/>
    <cellStyle name="BL3" xfId="261" xr:uid="{00000000-0005-0000-0000-0000FA000000}"/>
    <cellStyle name="BL4" xfId="262" xr:uid="{00000000-0005-0000-0000-0000FB000000}"/>
    <cellStyle name="Blue" xfId="263" xr:uid="{00000000-0005-0000-0000-0000FC000000}"/>
    <cellStyle name="BNc2" xfId="264" xr:uid="{00000000-0005-0000-0000-0000FD000000}"/>
    <cellStyle name="BNC3L" xfId="265" xr:uid="{00000000-0005-0000-0000-0000FE000000}"/>
    <cellStyle name="bnc4" xfId="266" xr:uid="{00000000-0005-0000-0000-0000FF000000}"/>
    <cellStyle name="BNL2" xfId="267" xr:uid="{00000000-0005-0000-0000-000000010000}"/>
    <cellStyle name="BNL3" xfId="268" xr:uid="{00000000-0005-0000-0000-000001010000}"/>
    <cellStyle name="BNL4" xfId="269" xr:uid="{00000000-0005-0000-0000-000002010000}"/>
    <cellStyle name="BNLB3" xfId="270" xr:uid="{00000000-0005-0000-0000-000003010000}"/>
    <cellStyle name="Body" xfId="271" xr:uid="{00000000-0005-0000-0000-000004010000}"/>
    <cellStyle name="bold" xfId="272" xr:uid="{00000000-0005-0000-0000-000005010000}"/>
    <cellStyle name="Boldcentre" xfId="273" xr:uid="{00000000-0005-0000-0000-000006010000}"/>
    <cellStyle name="BoldJust" xfId="274" xr:uid="{00000000-0005-0000-0000-000007010000}"/>
    <cellStyle name="Border Heavy" xfId="275" xr:uid="{00000000-0005-0000-0000-000008010000}"/>
    <cellStyle name="Border Thin" xfId="276" xr:uid="{00000000-0005-0000-0000-000009010000}"/>
    <cellStyle name="BT1" xfId="277" xr:uid="{00000000-0005-0000-0000-00000A010000}"/>
    <cellStyle name="BT2" xfId="278" xr:uid="{00000000-0005-0000-0000-00000B010000}"/>
    <cellStyle name="BT3" xfId="279" xr:uid="{00000000-0005-0000-0000-00000C010000}"/>
    <cellStyle name="BTL2" xfId="280" xr:uid="{00000000-0005-0000-0000-00000D010000}"/>
    <cellStyle name="BTL3" xfId="281" xr:uid="{00000000-0005-0000-0000-00000E010000}"/>
    <cellStyle name="Bud Sum Normal" xfId="282" xr:uid="{00000000-0005-0000-0000-00000F010000}"/>
    <cellStyle name="Budge" xfId="283" xr:uid="{00000000-0005-0000-0000-000010010000}"/>
    <cellStyle name="Calc Currency (0)" xfId="284" xr:uid="{00000000-0005-0000-0000-000011010000}"/>
    <cellStyle name="Calculated" xfId="285" xr:uid="{00000000-0005-0000-0000-000012010000}"/>
    <cellStyle name="Calculation" xfId="286" xr:uid="{00000000-0005-0000-0000-000013010000}"/>
    <cellStyle name="Calculation 2" xfId="287" xr:uid="{00000000-0005-0000-0000-000014010000}"/>
    <cellStyle name="Calculation 3" xfId="288" xr:uid="{00000000-0005-0000-0000-000015010000}"/>
    <cellStyle name="Cell Link" xfId="289" xr:uid="{00000000-0005-0000-0000-000016010000}"/>
    <cellStyle name="Center Currency" xfId="290" xr:uid="{00000000-0005-0000-0000-000017010000}"/>
    <cellStyle name="Center Date" xfId="291" xr:uid="{00000000-0005-0000-0000-000018010000}"/>
    <cellStyle name="Center Multiple" xfId="292" xr:uid="{00000000-0005-0000-0000-000019010000}"/>
    <cellStyle name="Center Number" xfId="293" xr:uid="{00000000-0005-0000-0000-00001A010000}"/>
    <cellStyle name="Center Percentage" xfId="294" xr:uid="{00000000-0005-0000-0000-00001B010000}"/>
    <cellStyle name="Center Year" xfId="295" xr:uid="{00000000-0005-0000-0000-00001C010000}"/>
    <cellStyle name="Check" xfId="296" xr:uid="{00000000-0005-0000-0000-00001D010000}"/>
    <cellStyle name="Check Cell" xfId="297" xr:uid="{00000000-0005-0000-0000-00001E010000}"/>
    <cellStyle name="Comma" xfId="298" xr:uid="{00000000-0005-0000-0000-00001F010000}"/>
    <cellStyle name="Comma - None" xfId="299" xr:uid="{00000000-0005-0000-0000-000020010000}"/>
    <cellStyle name="Comma (1)" xfId="300" xr:uid="{00000000-0005-0000-0000-000021010000}"/>
    <cellStyle name="Comma 0" xfId="301" xr:uid="{00000000-0005-0000-0000-000022010000}"/>
    <cellStyle name="Comma 2" xfId="302" xr:uid="{00000000-0005-0000-0000-000023010000}"/>
    <cellStyle name="Comma_Colombia_LC_P2002_jun02" xfId="303" xr:uid="{00000000-0005-0000-0000-000024010000}"/>
    <cellStyle name="Comma0" xfId="304" xr:uid="{00000000-0005-0000-0000-000025010000}"/>
    <cellStyle name="Comma0 - Style1" xfId="305" xr:uid="{00000000-0005-0000-0000-000026010000}"/>
    <cellStyle name="Comma0 - Style2" xfId="306" xr:uid="{00000000-0005-0000-0000-000027010000}"/>
    <cellStyle name="Company Name" xfId="307" xr:uid="{00000000-0005-0000-0000-000028010000}"/>
    <cellStyle name="Copied" xfId="308" xr:uid="{00000000-0005-0000-0000-000029010000}"/>
    <cellStyle name="Cover Link Note" xfId="309" xr:uid="{00000000-0005-0000-0000-00002A010000}"/>
    <cellStyle name="CS Company Name" xfId="310" xr:uid="{00000000-0005-0000-0000-00002B010000}"/>
    <cellStyle name="CS Cover Note" xfId="311" xr:uid="{00000000-0005-0000-0000-00002C010000}"/>
    <cellStyle name="CS Cover Notes Heading" xfId="312" xr:uid="{00000000-0005-0000-0000-00002D010000}"/>
    <cellStyle name="CS Link Note" xfId="313" xr:uid="{00000000-0005-0000-0000-00002E010000}"/>
    <cellStyle name="CS Model Name" xfId="314" xr:uid="{00000000-0005-0000-0000-00002F010000}"/>
    <cellStyle name="Curr_Dec" xfId="315" xr:uid="{00000000-0005-0000-0000-000030010000}"/>
    <cellStyle name="Currency" xfId="316" xr:uid="{00000000-0005-0000-0000-000031010000}"/>
    <cellStyle name="Currency [2]" xfId="317" xr:uid="{00000000-0005-0000-0000-000032010000}"/>
    <cellStyle name="Currency 0" xfId="318" xr:uid="{00000000-0005-0000-0000-000033010000}"/>
    <cellStyle name="Currency 2" xfId="319" xr:uid="{00000000-0005-0000-0000-000034010000}"/>
    <cellStyle name="Currency 3" xfId="320" xr:uid="{00000000-0005-0000-0000-000035010000}"/>
    <cellStyle name="Currency 4" xfId="321" xr:uid="{00000000-0005-0000-0000-000036010000}"/>
    <cellStyle name="Currency0" xfId="322" xr:uid="{00000000-0005-0000-0000-000037010000}"/>
    <cellStyle name="Date" xfId="323" xr:uid="{00000000-0005-0000-0000-000038010000}"/>
    <cellStyle name="Date [mmm-d-yyyy]" xfId="324" xr:uid="{00000000-0005-0000-0000-000039010000}"/>
    <cellStyle name="Date [mmm-yyyy]" xfId="325" xr:uid="{00000000-0005-0000-0000-00003A010000}"/>
    <cellStyle name="Date [mmm-yyyy] 2" xfId="326" xr:uid="{00000000-0005-0000-0000-00003B010000}"/>
    <cellStyle name="Date [mmm-yyyy] 3" xfId="327" xr:uid="{00000000-0005-0000-0000-00003C010000}"/>
    <cellStyle name="Date Aligned" xfId="328" xr:uid="{00000000-0005-0000-0000-00003D010000}"/>
    <cellStyle name="Date Bold" xfId="329" xr:uid="{00000000-0005-0000-0000-00003E010000}"/>
    <cellStyle name="Date_①Base Case" xfId="330" xr:uid="{00000000-0005-0000-0000-00003F010000}"/>
    <cellStyle name="date4l" xfId="331" xr:uid="{00000000-0005-0000-0000-000040010000}"/>
    <cellStyle name="DateB3L" xfId="332" xr:uid="{00000000-0005-0000-0000-000041010000}"/>
    <cellStyle name="DATEIL" xfId="333" xr:uid="{00000000-0005-0000-0000-000042010000}"/>
    <cellStyle name="DATEIL 2" xfId="334" xr:uid="{00000000-0005-0000-0000-000043010000}"/>
    <cellStyle name="DATEIL 3" xfId="335" xr:uid="{00000000-0005-0000-0000-000044010000}"/>
    <cellStyle name="Dateshort" xfId="336" xr:uid="{00000000-0005-0000-0000-000045010000}"/>
    <cellStyle name="Dateshort2" xfId="337" xr:uid="{00000000-0005-0000-0000-000046010000}"/>
    <cellStyle name="dateT3L" xfId="338" xr:uid="{00000000-0005-0000-0000-000047010000}"/>
    <cellStyle name="DateTime" xfId="339" xr:uid="{00000000-0005-0000-0000-000048010000}"/>
    <cellStyle name="Decimal" xfId="340" xr:uid="{00000000-0005-0000-0000-000049010000}"/>
    <cellStyle name="Decimals00" xfId="341" xr:uid="{00000000-0005-0000-0000-00004A010000}"/>
    <cellStyle name="Dezimal [0]_Compiling Utility Macros" xfId="342" xr:uid="{00000000-0005-0000-0000-00004B010000}"/>
    <cellStyle name="Dezimal_Compiling Utility Macros" xfId="343" xr:uid="{00000000-0005-0000-0000-00004C010000}"/>
    <cellStyle name="Disabled" xfId="344" xr:uid="{00000000-0005-0000-0000-00004D010000}"/>
    <cellStyle name="Discontinuity" xfId="345" xr:uid="{00000000-0005-0000-0000-00004E010000}"/>
    <cellStyle name="Dotted Line" xfId="346" xr:uid="{00000000-0005-0000-0000-00004F010000}"/>
    <cellStyle name="EC" xfId="347" xr:uid="{00000000-0005-0000-0000-000050010000}"/>
    <cellStyle name="EC PRESENTATION" xfId="348" xr:uid="{00000000-0005-0000-0000-000051010000}"/>
    <cellStyle name="EC_B" xfId="349" xr:uid="{00000000-0005-0000-0000-000052010000}"/>
    <cellStyle name="Entered" xfId="350" xr:uid="{00000000-0005-0000-0000-000053010000}"/>
    <cellStyle name="Euro" xfId="351" xr:uid="{00000000-0005-0000-0000-000054010000}"/>
    <cellStyle name="Explanatory Text" xfId="352" xr:uid="{00000000-0005-0000-0000-000055010000}"/>
    <cellStyle name="F3 - Style1" xfId="353" xr:uid="{00000000-0005-0000-0000-000056010000}"/>
    <cellStyle name="FAS Input Currency" xfId="354" xr:uid="{00000000-0005-0000-0000-000057010000}"/>
    <cellStyle name="FAS Input Date" xfId="355" xr:uid="{00000000-0005-0000-0000-000058010000}"/>
    <cellStyle name="FAS Input Multiple" xfId="356" xr:uid="{00000000-0005-0000-0000-000059010000}"/>
    <cellStyle name="FAS Input Number" xfId="357" xr:uid="{00000000-0005-0000-0000-00005A010000}"/>
    <cellStyle name="FAS Input Percentage" xfId="358" xr:uid="{00000000-0005-0000-0000-00005B010000}"/>
    <cellStyle name="FAS Input Title / Name" xfId="359" xr:uid="{00000000-0005-0000-0000-00005C010000}"/>
    <cellStyle name="FAS Input Year" xfId="360" xr:uid="{00000000-0005-0000-0000-00005D010000}"/>
    <cellStyle name="FASI Currency" xfId="361" xr:uid="{00000000-0005-0000-0000-00005E010000}"/>
    <cellStyle name="FASI Date" xfId="362" xr:uid="{00000000-0005-0000-0000-00005F010000}"/>
    <cellStyle name="FASI Heading 1" xfId="363" xr:uid="{00000000-0005-0000-0000-000060010000}"/>
    <cellStyle name="FASI Heading 2" xfId="364" xr:uid="{00000000-0005-0000-0000-000061010000}"/>
    <cellStyle name="FASI Heading 3" xfId="365" xr:uid="{00000000-0005-0000-0000-000062010000}"/>
    <cellStyle name="FASI Heading 4" xfId="366" xr:uid="{00000000-0005-0000-0000-000063010000}"/>
    <cellStyle name="FASI Multiple" xfId="367" xr:uid="{00000000-0005-0000-0000-000064010000}"/>
    <cellStyle name="FASI Number" xfId="368" xr:uid="{00000000-0005-0000-0000-000065010000}"/>
    <cellStyle name="FASI Percentage" xfId="369" xr:uid="{00000000-0005-0000-0000-000066010000}"/>
    <cellStyle name="FASI Sheet Title" xfId="370" xr:uid="{00000000-0005-0000-0000-000067010000}"/>
    <cellStyle name="FASI Title / Name" xfId="371" xr:uid="{00000000-0005-0000-0000-000068010000}"/>
    <cellStyle name="FASO Company Name" xfId="372" xr:uid="{00000000-0005-0000-0000-000069010000}"/>
    <cellStyle name="FASO Currency" xfId="373" xr:uid="{00000000-0005-0000-0000-00006A010000}"/>
    <cellStyle name="FASO Date" xfId="374" xr:uid="{00000000-0005-0000-0000-00006B010000}"/>
    <cellStyle name="FASO Heading 1" xfId="375" xr:uid="{00000000-0005-0000-0000-00006C010000}"/>
    <cellStyle name="FASO Heading 2" xfId="376" xr:uid="{00000000-0005-0000-0000-00006D010000}"/>
    <cellStyle name="FASO Heading 3" xfId="377" xr:uid="{00000000-0005-0000-0000-00006E010000}"/>
    <cellStyle name="FASO Heading 4" xfId="378" xr:uid="{00000000-0005-0000-0000-00006F010000}"/>
    <cellStyle name="FASO Link Cell" xfId="379" xr:uid="{00000000-0005-0000-0000-000070010000}"/>
    <cellStyle name="FASO Multiple" xfId="380" xr:uid="{00000000-0005-0000-0000-000071010000}"/>
    <cellStyle name="FASO Number" xfId="381" xr:uid="{00000000-0005-0000-0000-000072010000}"/>
    <cellStyle name="FASO Percentage" xfId="382" xr:uid="{00000000-0005-0000-0000-000073010000}"/>
    <cellStyle name="FASO Title / Name" xfId="383" xr:uid="{00000000-0005-0000-0000-000074010000}"/>
    <cellStyle name="FASO Year" xfId="384" xr:uid="{00000000-0005-0000-0000-000075010000}"/>
    <cellStyle name="Fixed" xfId="385" xr:uid="{00000000-0005-0000-0000-000076010000}"/>
    <cellStyle name="Fixed3" xfId="386" xr:uid="{00000000-0005-0000-0000-000077010000}"/>
    <cellStyle name="Footnote" xfId="387" xr:uid="{00000000-0005-0000-0000-000078010000}"/>
    <cellStyle name="Forecast Currency" xfId="388" xr:uid="{00000000-0005-0000-0000-000079010000}"/>
    <cellStyle name="Forecast Date" xfId="389" xr:uid="{00000000-0005-0000-0000-00007A010000}"/>
    <cellStyle name="Forecast Multiple" xfId="390" xr:uid="{00000000-0005-0000-0000-00007B010000}"/>
    <cellStyle name="Forecast Number" xfId="391" xr:uid="{00000000-0005-0000-0000-00007C010000}"/>
    <cellStyle name="Forecast Percentage" xfId="392" xr:uid="{00000000-0005-0000-0000-00007D010000}"/>
    <cellStyle name="Forecast Period Title" xfId="393" xr:uid="{00000000-0005-0000-0000-00007E010000}"/>
    <cellStyle name="Forecast Year" xfId="394" xr:uid="{00000000-0005-0000-0000-00007F010000}"/>
    <cellStyle name="FSI Commencement Date" xfId="395" xr:uid="{00000000-0005-0000-0000-000080010000}"/>
    <cellStyle name="FSI Currency" xfId="396" xr:uid="{00000000-0005-0000-0000-000081010000}"/>
    <cellStyle name="FSI Heading 1" xfId="397" xr:uid="{00000000-0005-0000-0000-000082010000}"/>
    <cellStyle name="FSI Heading 2" xfId="398" xr:uid="{00000000-0005-0000-0000-000083010000}"/>
    <cellStyle name="FSI Heading 3" xfId="399" xr:uid="{00000000-0005-0000-0000-000084010000}"/>
    <cellStyle name="FSI Heading 4" xfId="400" xr:uid="{00000000-0005-0000-0000-000085010000}"/>
    <cellStyle name="FSI Multiple" xfId="401" xr:uid="{00000000-0005-0000-0000-000086010000}"/>
    <cellStyle name="FSI Number" xfId="402" xr:uid="{00000000-0005-0000-0000-000087010000}"/>
    <cellStyle name="FSI Percentage" xfId="403" xr:uid="{00000000-0005-0000-0000-000088010000}"/>
    <cellStyle name="FSI Sheet Title" xfId="404" xr:uid="{00000000-0005-0000-0000-000089010000}"/>
    <cellStyle name="FSO Company Name" xfId="405" xr:uid="{00000000-0005-0000-0000-00008A010000}"/>
    <cellStyle name="FSO Currency" xfId="406" xr:uid="{00000000-0005-0000-0000-00008B010000}"/>
    <cellStyle name="FSO Date" xfId="407" xr:uid="{00000000-0005-0000-0000-00008C010000}"/>
    <cellStyle name="FSO Heading 1" xfId="408" xr:uid="{00000000-0005-0000-0000-00008D010000}"/>
    <cellStyle name="FSO Heading 2" xfId="409" xr:uid="{00000000-0005-0000-0000-00008E010000}"/>
    <cellStyle name="FSO Heading 3" xfId="410" xr:uid="{00000000-0005-0000-0000-00008F010000}"/>
    <cellStyle name="FSO Heading 4" xfId="411" xr:uid="{00000000-0005-0000-0000-000090010000}"/>
    <cellStyle name="FSO Multiple" xfId="412" xr:uid="{00000000-0005-0000-0000-000091010000}"/>
    <cellStyle name="FSO Number" xfId="413" xr:uid="{00000000-0005-0000-0000-000092010000}"/>
    <cellStyle name="FSO Percentage" xfId="414" xr:uid="{00000000-0005-0000-0000-000093010000}"/>
    <cellStyle name="FSO Period Title" xfId="415" xr:uid="{00000000-0005-0000-0000-000094010000}"/>
    <cellStyle name="FSO Year" xfId="416" xr:uid="{00000000-0005-0000-0000-000095010000}"/>
    <cellStyle name="FSOA Currency" xfId="417" xr:uid="{00000000-0005-0000-0000-000096010000}"/>
    <cellStyle name="FSOA Date" xfId="418" xr:uid="{00000000-0005-0000-0000-000097010000}"/>
    <cellStyle name="FSOA Multiple" xfId="419" xr:uid="{00000000-0005-0000-0000-000098010000}"/>
    <cellStyle name="FSOA Number" xfId="420" xr:uid="{00000000-0005-0000-0000-000099010000}"/>
    <cellStyle name="FSOA Percentage" xfId="421" xr:uid="{00000000-0005-0000-0000-00009A010000}"/>
    <cellStyle name="FSOA Title / Name" xfId="422" xr:uid="{00000000-0005-0000-0000-00009B010000}"/>
    <cellStyle name="General" xfId="423" xr:uid="{00000000-0005-0000-0000-00009C010000}"/>
    <cellStyle name="Good" xfId="424" xr:uid="{00000000-0005-0000-0000-00009D010000}"/>
    <cellStyle name="Grand  - Style1" xfId="425" xr:uid="{00000000-0005-0000-0000-00009E010000}"/>
    <cellStyle name="Grand Total" xfId="426" xr:uid="{00000000-0005-0000-0000-00009F010000}"/>
    <cellStyle name="Grey" xfId="427" xr:uid="{00000000-0005-0000-0000-0000A0010000}"/>
    <cellStyle name="Hard Percent" xfId="428" xr:uid="{00000000-0005-0000-0000-0000A1010000}"/>
    <cellStyle name="Head" xfId="429" xr:uid="{00000000-0005-0000-0000-0000A2010000}"/>
    <cellStyle name="head11a" xfId="430" xr:uid="{00000000-0005-0000-0000-0000A3010000}"/>
    <cellStyle name="head11b" xfId="431" xr:uid="{00000000-0005-0000-0000-0000A4010000}"/>
    <cellStyle name="head11c" xfId="432" xr:uid="{00000000-0005-0000-0000-0000A5010000}"/>
    <cellStyle name="head14" xfId="433" xr:uid="{00000000-0005-0000-0000-0000A6010000}"/>
    <cellStyle name="headd" xfId="434" xr:uid="{00000000-0005-0000-0000-0000A7010000}"/>
    <cellStyle name="HEADER" xfId="435" xr:uid="{00000000-0005-0000-0000-0000A8010000}"/>
    <cellStyle name="Header1" xfId="436" xr:uid="{00000000-0005-0000-0000-0000A9010000}"/>
    <cellStyle name="Header2" xfId="437" xr:uid="{00000000-0005-0000-0000-0000AA010000}"/>
    <cellStyle name="heading" xfId="438" xr:uid="{00000000-0005-0000-0000-0000AB010000}"/>
    <cellStyle name="Heading 1" xfId="439" xr:uid="{00000000-0005-0000-0000-0000AC010000}"/>
    <cellStyle name="Heading 2" xfId="440" xr:uid="{00000000-0005-0000-0000-0000AD010000}"/>
    <cellStyle name="Heading 3" xfId="441" xr:uid="{00000000-0005-0000-0000-0000AE010000}"/>
    <cellStyle name="Heading 4" xfId="442" xr:uid="{00000000-0005-0000-0000-0000AF010000}"/>
    <cellStyle name="heading_Financial Summary Sheet Sent to Marubeni" xfId="443" xr:uid="{00000000-0005-0000-0000-0000B0010000}"/>
    <cellStyle name="Heading1" xfId="444" xr:uid="{00000000-0005-0000-0000-0000B1010000}"/>
    <cellStyle name="Heading2" xfId="445" xr:uid="{00000000-0005-0000-0000-0000B2010000}"/>
    <cellStyle name="Heading3" xfId="446" xr:uid="{00000000-0005-0000-0000-0000B3010000}"/>
    <cellStyle name="Heading4" xfId="447" xr:uid="{00000000-0005-0000-0000-0000B4010000}"/>
    <cellStyle name="HEADINGS" xfId="448" xr:uid="{00000000-0005-0000-0000-0000B5010000}"/>
    <cellStyle name="HEADINGSTOP" xfId="449" xr:uid="{00000000-0005-0000-0000-0000B6010000}"/>
    <cellStyle name="Hidden" xfId="450" xr:uid="{00000000-0005-0000-0000-0000B7010000}"/>
    <cellStyle name="HidST" xfId="451" xr:uid="{00000000-0005-0000-0000-0000B8010000}"/>
    <cellStyle name="HidST 2" xfId="452" xr:uid="{00000000-0005-0000-0000-0000B9010000}"/>
    <cellStyle name="HidST 3" xfId="453" xr:uid="{00000000-0005-0000-0000-0000BA010000}"/>
    <cellStyle name="HIGHLIGHT" xfId="454" xr:uid="{00000000-0005-0000-0000-0000BB010000}"/>
    <cellStyle name="HSBC Input Date" xfId="455" xr:uid="{00000000-0005-0000-0000-0000BC010000}"/>
    <cellStyle name="HSBC Input Number 1" xfId="456" xr:uid="{00000000-0005-0000-0000-0000BD010000}"/>
    <cellStyle name="HSBC Input Number 2" xfId="457" xr:uid="{00000000-0005-0000-0000-0000BE010000}"/>
    <cellStyle name="HSBC Input Percent" xfId="458" xr:uid="{00000000-0005-0000-0000-0000BF010000}"/>
    <cellStyle name="HSBC Input Ratio" xfId="459" xr:uid="{00000000-0005-0000-0000-0000C0010000}"/>
    <cellStyle name="HSBC Normal" xfId="460" xr:uid="{00000000-0005-0000-0000-0000C1010000}"/>
    <cellStyle name="HSBC Report Number" xfId="461" xr:uid="{00000000-0005-0000-0000-0000C2010000}"/>
    <cellStyle name="HSBC Report Total" xfId="462" xr:uid="{00000000-0005-0000-0000-0000C3010000}"/>
    <cellStyle name="HSBC Report Total Main" xfId="463" xr:uid="{00000000-0005-0000-0000-0000C4010000}"/>
    <cellStyle name="HSBC Report Total Main 2" xfId="464" xr:uid="{00000000-0005-0000-0000-0000C5010000}"/>
    <cellStyle name="HSBC Report Total Main 3" xfId="465" xr:uid="{00000000-0005-0000-0000-0000C6010000}"/>
    <cellStyle name="HSBC Title Main" xfId="466" xr:uid="{00000000-0005-0000-0000-0000C7010000}"/>
    <cellStyle name="HSBC Title Main Sub" xfId="467" xr:uid="{00000000-0005-0000-0000-0000C8010000}"/>
    <cellStyle name="HSBC Title Main_ADWEA sheet" xfId="468" xr:uid="{00000000-0005-0000-0000-0000C9010000}"/>
    <cellStyle name="HSBC Title Module" xfId="469" xr:uid="{00000000-0005-0000-0000-0000CA010000}"/>
    <cellStyle name="HSBC WK Date" xfId="470" xr:uid="{00000000-0005-0000-0000-0000CB010000}"/>
    <cellStyle name="HSBC WK Number 2" xfId="471" xr:uid="{00000000-0005-0000-0000-0000CC010000}"/>
    <cellStyle name="HSBC WK Number 2 T" xfId="472" xr:uid="{00000000-0005-0000-0000-0000CD010000}"/>
    <cellStyle name="HSBC WK Number 2_Taweelah 050223 1000 9 MAY CLOSE SPONSORS v8" xfId="473" xr:uid="{00000000-0005-0000-0000-0000CE010000}"/>
    <cellStyle name="HSBC WK Percent" xfId="474" xr:uid="{00000000-0005-0000-0000-0000CF010000}"/>
    <cellStyle name="HSBC WK Ratios" xfId="475" xr:uid="{00000000-0005-0000-0000-0000D0010000}"/>
    <cellStyle name="HSBC WK Year Format" xfId="476" xr:uid="{00000000-0005-0000-0000-0000D1010000}"/>
    <cellStyle name="HSBC WK Year Format Link" xfId="477" xr:uid="{00000000-0005-0000-0000-0000D2010000}"/>
    <cellStyle name="Hyperlink Arrow" xfId="478" xr:uid="{00000000-0005-0000-0000-0000D3010000}"/>
    <cellStyle name="Hyperlink Check" xfId="479" xr:uid="{00000000-0005-0000-0000-0000D4010000}"/>
    <cellStyle name="Hyperlink Text" xfId="480" xr:uid="{00000000-0005-0000-0000-0000D5010000}"/>
    <cellStyle name="import_ICRC Electricity model 1-1  (1 Feb 2003) " xfId="481" xr:uid="{00000000-0005-0000-0000-0000D6010000}"/>
    <cellStyle name="Inp-0com" xfId="482" xr:uid="{00000000-0005-0000-0000-0000D7010000}"/>
    <cellStyle name="Inp-1per" xfId="483" xr:uid="{00000000-0005-0000-0000-0000D8010000}"/>
    <cellStyle name="Inp-Date" xfId="484" xr:uid="{00000000-0005-0000-0000-0000D9010000}"/>
    <cellStyle name="Input" xfId="485" xr:uid="{00000000-0005-0000-0000-0000DA010000}"/>
    <cellStyle name="Input [yellow]" xfId="486" xr:uid="{00000000-0005-0000-0000-0000DB010000}"/>
    <cellStyle name="Input Company Name" xfId="487" xr:uid="{00000000-0005-0000-0000-0000DC010000}"/>
    <cellStyle name="Input Forecast Currency" xfId="488" xr:uid="{00000000-0005-0000-0000-0000DD010000}"/>
    <cellStyle name="Input Forecast Date" xfId="489" xr:uid="{00000000-0005-0000-0000-0000DE010000}"/>
    <cellStyle name="Input Forecast Multiple" xfId="490" xr:uid="{00000000-0005-0000-0000-0000DF010000}"/>
    <cellStyle name="Input Forecast Number" xfId="491" xr:uid="{00000000-0005-0000-0000-0000E0010000}"/>
    <cellStyle name="Input Forecast Percentage" xfId="492" xr:uid="{00000000-0005-0000-0000-0000E1010000}"/>
    <cellStyle name="Input Forecast Year" xfId="493" xr:uid="{00000000-0005-0000-0000-0000E2010000}"/>
    <cellStyle name="Input Heading 1" xfId="494" xr:uid="{00000000-0005-0000-0000-0000E3010000}"/>
    <cellStyle name="Input Heading 2" xfId="495" xr:uid="{00000000-0005-0000-0000-0000E4010000}"/>
    <cellStyle name="Input Heading 3" xfId="496" xr:uid="{00000000-0005-0000-0000-0000E5010000}"/>
    <cellStyle name="Input Heading 4" xfId="497" xr:uid="{00000000-0005-0000-0000-0000E6010000}"/>
    <cellStyle name="Input Key" xfId="498" xr:uid="{00000000-0005-0000-0000-0000E7010000}"/>
    <cellStyle name="Input Middle Currency" xfId="499" xr:uid="{00000000-0005-0000-0000-0000E8010000}"/>
    <cellStyle name="Input Middle Date" xfId="500" xr:uid="{00000000-0005-0000-0000-0000E9010000}"/>
    <cellStyle name="Input Middle Multiple" xfId="501" xr:uid="{00000000-0005-0000-0000-0000EA010000}"/>
    <cellStyle name="Input Middle Number" xfId="502" xr:uid="{00000000-0005-0000-0000-0000EB010000}"/>
    <cellStyle name="Input Middle Percentage" xfId="503" xr:uid="{00000000-0005-0000-0000-0000EC010000}"/>
    <cellStyle name="Input Middle Title / Name" xfId="504" xr:uid="{00000000-0005-0000-0000-0000ED010000}"/>
    <cellStyle name="Input Middle Year" xfId="505" xr:uid="{00000000-0005-0000-0000-0000EE010000}"/>
    <cellStyle name="Input Sheet Title" xfId="506" xr:uid="{00000000-0005-0000-0000-0000EF010000}"/>
    <cellStyle name="Input Undo" xfId="507" xr:uid="{00000000-0005-0000-0000-0000F0010000}"/>
    <cellStyle name="Input_①Base Case" xfId="508" xr:uid="{00000000-0005-0000-0000-0000F1010000}"/>
    <cellStyle name="Input-0com" xfId="509" xr:uid="{00000000-0005-0000-0000-0000F2010000}"/>
    <cellStyle name="Input1_ICRC Electricity model 1-1  (1 Feb 2003) " xfId="510" xr:uid="{00000000-0005-0000-0000-0000F3010000}"/>
    <cellStyle name="Input-1dec" xfId="511" xr:uid="{00000000-0005-0000-0000-0000F4010000}"/>
    <cellStyle name="Input-1per" xfId="512" xr:uid="{00000000-0005-0000-0000-0000F5010000}"/>
    <cellStyle name="Input-2dec" xfId="513" xr:uid="{00000000-0005-0000-0000-0000F6010000}"/>
    <cellStyle name="Input-2per" xfId="514" xr:uid="{00000000-0005-0000-0000-0000F7010000}"/>
    <cellStyle name="Integer" xfId="515" xr:uid="{00000000-0005-0000-0000-0000F8010000}"/>
    <cellStyle name="Italic" xfId="516" xr:uid="{00000000-0005-0000-0000-0000F9010000}"/>
    <cellStyle name="JUSB" xfId="517" xr:uid="{00000000-0005-0000-0000-0000FA010000}"/>
    <cellStyle name="Lien hypertexte_Ankara BO_BaseCase_2002-09-24" xfId="518" xr:uid="{00000000-0005-0000-0000-0000FB010000}"/>
    <cellStyle name="Linked Cell" xfId="519" xr:uid="{00000000-0005-0000-0000-0000FC010000}"/>
    <cellStyle name="Lookup Table Heading" xfId="520" xr:uid="{00000000-0005-0000-0000-0000FD010000}"/>
    <cellStyle name="Lookup Table Label" xfId="521" xr:uid="{00000000-0005-0000-0000-0000FE010000}"/>
    <cellStyle name="Lookup Table Number" xfId="522" xr:uid="{00000000-0005-0000-0000-0000FF010000}"/>
    <cellStyle name="LS Input Lookup Label" xfId="523" xr:uid="{00000000-0005-0000-0000-000000020000}"/>
    <cellStyle name="LS Input Table Heading" xfId="524" xr:uid="{00000000-0005-0000-0000-000001020000}"/>
    <cellStyle name="LS Input Table No. 1" xfId="525" xr:uid="{00000000-0005-0000-0000-000002020000}"/>
    <cellStyle name="LS Output Table No. 2+" xfId="526" xr:uid="{00000000-0005-0000-0000-000003020000}"/>
    <cellStyle name="LSI Lookup Label" xfId="527" xr:uid="{00000000-0005-0000-0000-000004020000}"/>
    <cellStyle name="LSI Sheet Title" xfId="528" xr:uid="{00000000-0005-0000-0000-000005020000}"/>
    <cellStyle name="LSI Table Heading" xfId="529" xr:uid="{00000000-0005-0000-0000-000006020000}"/>
    <cellStyle name="LSI Table No. 1" xfId="530" xr:uid="{00000000-0005-0000-0000-000007020000}"/>
    <cellStyle name="LSI Table No. 2+" xfId="531" xr:uid="{00000000-0005-0000-0000-000008020000}"/>
    <cellStyle name="LSI Table Title" xfId="532" xr:uid="{00000000-0005-0000-0000-000009020000}"/>
    <cellStyle name="LSO Company Name" xfId="533" xr:uid="{00000000-0005-0000-0000-00000A020000}"/>
    <cellStyle name="Middle Currency" xfId="534" xr:uid="{00000000-0005-0000-0000-00000B020000}"/>
    <cellStyle name="Middle Date" xfId="535" xr:uid="{00000000-0005-0000-0000-00000C020000}"/>
    <cellStyle name="Middle Multiple" xfId="536" xr:uid="{00000000-0005-0000-0000-00000D020000}"/>
    <cellStyle name="Middle Number" xfId="537" xr:uid="{00000000-0005-0000-0000-00000E020000}"/>
    <cellStyle name="Middle Percentage" xfId="538" xr:uid="{00000000-0005-0000-0000-00000F020000}"/>
    <cellStyle name="Middle Title / Name" xfId="539" xr:uid="{00000000-0005-0000-0000-000010020000}"/>
    <cellStyle name="Middle Year" xfId="540" xr:uid="{00000000-0005-0000-0000-000011020000}"/>
    <cellStyle name="Milliers [0]_Données par jours" xfId="541" xr:uid="{00000000-0005-0000-0000-000012020000}"/>
    <cellStyle name="Milliers_Données par jours" xfId="542" xr:uid="{00000000-0005-0000-0000-000013020000}"/>
    <cellStyle name="Millions" xfId="543" xr:uid="{00000000-0005-0000-0000-000014020000}"/>
    <cellStyle name="Mixed Cell Forecast Date" xfId="544" xr:uid="{00000000-0005-0000-0000-000015020000}"/>
    <cellStyle name="MMYY" xfId="545" xr:uid="{00000000-0005-0000-0000-000016020000}"/>
    <cellStyle name="Model Name" xfId="546" xr:uid="{00000000-0005-0000-0000-000017020000}"/>
    <cellStyle name="Mon Yr" xfId="547" xr:uid="{00000000-0005-0000-0000-000018020000}"/>
    <cellStyle name="Monétaire [0]_Données par jours" xfId="548" xr:uid="{00000000-0005-0000-0000-000019020000}"/>
    <cellStyle name="Monétaire_Données par jours" xfId="549" xr:uid="{00000000-0005-0000-0000-00001A020000}"/>
    <cellStyle name="Month" xfId="550" xr:uid="{00000000-0005-0000-0000-00001B020000}"/>
    <cellStyle name="Month Counter" xfId="551" xr:uid="{00000000-0005-0000-0000-00001C020000}"/>
    <cellStyle name="Month Year" xfId="552" xr:uid="{00000000-0005-0000-0000-00001D020000}"/>
    <cellStyle name="Month_02_03 NI and Cash" xfId="553" xr:uid="{00000000-0005-0000-0000-00001E020000}"/>
    <cellStyle name="Multiple" xfId="554" xr:uid="{00000000-0005-0000-0000-00001F020000}"/>
    <cellStyle name="N" xfId="555" xr:uid="{00000000-0005-0000-0000-000020020000}"/>
    <cellStyle name="N3LG" xfId="556" xr:uid="{00000000-0005-0000-0000-000021020000}"/>
    <cellStyle name="Name" xfId="557" xr:uid="{00000000-0005-0000-0000-000022020000}"/>
    <cellStyle name="NB3" xfId="558" xr:uid="{00000000-0005-0000-0000-000023020000}"/>
    <cellStyle name="NBBIGL2" xfId="559" xr:uid="{00000000-0005-0000-0000-000024020000}"/>
    <cellStyle name="NBIGL2" xfId="560" xr:uid="{00000000-0005-0000-0000-000025020000}"/>
    <cellStyle name="NC2LR" xfId="561" xr:uid="{00000000-0005-0000-0000-000026020000}"/>
    <cellStyle name="NC3B" xfId="562" xr:uid="{00000000-0005-0000-0000-000027020000}"/>
    <cellStyle name="NC4" xfId="563" xr:uid="{00000000-0005-0000-0000-000028020000}"/>
    <cellStyle name="Neutral" xfId="564" xr:uid="{00000000-0005-0000-0000-000029020000}"/>
    <cellStyle name="NG4" xfId="565" xr:uid="{00000000-0005-0000-0000-00002A020000}"/>
    <cellStyle name="no dec" xfId="566" xr:uid="{00000000-0005-0000-0000-00002B020000}"/>
    <cellStyle name="Norm`l_INPCMHB_1_FUEL" xfId="567" xr:uid="{00000000-0005-0000-0000-00002C020000}"/>
    <cellStyle name="Normal - Style1" xfId="568" xr:uid="{00000000-0005-0000-0000-00002D020000}"/>
    <cellStyle name="Normal - Style2" xfId="569" xr:uid="{00000000-0005-0000-0000-00002E020000}"/>
    <cellStyle name="Normal - Style3" xfId="570" xr:uid="{00000000-0005-0000-0000-00002F020000}"/>
    <cellStyle name="Normal 00" xfId="571" xr:uid="{00000000-0005-0000-0000-000030020000}"/>
    <cellStyle name="Normal 2" xfId="572" xr:uid="{00000000-0005-0000-0000-000031020000}"/>
    <cellStyle name="Normal 3" xfId="573" xr:uid="{00000000-0005-0000-0000-000032020000}"/>
    <cellStyle name="Normal Bold" xfId="574" xr:uid="{00000000-0005-0000-0000-000033020000}"/>
    <cellStyle name="Normal_BBI-interface-0.007" xfId="575" xr:uid="{00000000-0005-0000-0000-000034020000}"/>
    <cellStyle name="NormalMultiple" xfId="576" xr:uid="{00000000-0005-0000-0000-000035020000}"/>
    <cellStyle name="NormalX" xfId="577" xr:uid="{00000000-0005-0000-0000-000036020000}"/>
    <cellStyle name="Not Across" xfId="578" xr:uid="{00000000-0005-0000-0000-000037020000}"/>
    <cellStyle name="Not Down" xfId="579" xr:uid="{00000000-0005-0000-0000-000038020000}"/>
    <cellStyle name="Note" xfId="580" xr:uid="{00000000-0005-0000-0000-000039020000}"/>
    <cellStyle name="Note - Style4" xfId="581" xr:uid="{00000000-0005-0000-0000-00003A020000}"/>
    <cellStyle name="Note 2" xfId="582" xr:uid="{00000000-0005-0000-0000-00003B020000}"/>
    <cellStyle name="Note 2 2" xfId="583" xr:uid="{00000000-0005-0000-0000-00003C020000}"/>
    <cellStyle name="Note 3" xfId="584" xr:uid="{00000000-0005-0000-0000-00003D020000}"/>
    <cellStyle name="NR2" xfId="585" xr:uid="{00000000-0005-0000-0000-00003E020000}"/>
    <cellStyle name="NR3" xfId="586" xr:uid="{00000000-0005-0000-0000-00003F020000}"/>
    <cellStyle name="NRB2" xfId="587" xr:uid="{00000000-0005-0000-0000-000040020000}"/>
    <cellStyle name="NRL1" xfId="588" xr:uid="{00000000-0005-0000-0000-000041020000}"/>
    <cellStyle name="NRTL3" xfId="589" xr:uid="{00000000-0005-0000-0000-000042020000}"/>
    <cellStyle name="NT3" xfId="590" xr:uid="{00000000-0005-0000-0000-000043020000}"/>
    <cellStyle name="NTR2" xfId="591" xr:uid="{00000000-0005-0000-0000-000044020000}"/>
    <cellStyle name="Num4" xfId="592" xr:uid="{00000000-0005-0000-0000-000045020000}"/>
    <cellStyle name="Number" xfId="593" xr:uid="{00000000-0005-0000-0000-000046020000}"/>
    <cellStyle name="nvision" xfId="594" xr:uid="{00000000-0005-0000-0000-000047020000}"/>
    <cellStyle name="odd" xfId="595" xr:uid="{00000000-0005-0000-0000-000048020000}"/>
    <cellStyle name="OLELink" xfId="596" xr:uid="{00000000-0005-0000-0000-000049020000}"/>
    <cellStyle name="OnOffToggle" xfId="597" xr:uid="{00000000-0005-0000-0000-00004A020000}"/>
    <cellStyle name="Other" xfId="598" xr:uid="{00000000-0005-0000-0000-00004B020000}"/>
    <cellStyle name="OtherSheet" xfId="599" xr:uid="{00000000-0005-0000-0000-00004C020000}"/>
    <cellStyle name="OthSh" xfId="600" xr:uid="{00000000-0005-0000-0000-00004D020000}"/>
    <cellStyle name="Out-Date" xfId="601" xr:uid="{00000000-0005-0000-0000-00004E020000}"/>
    <cellStyle name="Output" xfId="602" xr:uid="{00000000-0005-0000-0000-00004F020000}"/>
    <cellStyle name="Output 2" xfId="603" xr:uid="{00000000-0005-0000-0000-000050020000}"/>
    <cellStyle name="Output 3" xfId="604" xr:uid="{00000000-0005-0000-0000-000051020000}"/>
    <cellStyle name="Output Company Name" xfId="605" xr:uid="{00000000-0005-0000-0000-000052020000}"/>
    <cellStyle name="Output Forecast Currency" xfId="606" xr:uid="{00000000-0005-0000-0000-000053020000}"/>
    <cellStyle name="Output Forecast Date" xfId="607" xr:uid="{00000000-0005-0000-0000-000054020000}"/>
    <cellStyle name="Output Forecast Multiple" xfId="608" xr:uid="{00000000-0005-0000-0000-000055020000}"/>
    <cellStyle name="Output Forecast Number" xfId="609" xr:uid="{00000000-0005-0000-0000-000056020000}"/>
    <cellStyle name="Output Forecast Percentage" xfId="610" xr:uid="{00000000-0005-0000-0000-000057020000}"/>
    <cellStyle name="Output Forecast Period Title" xfId="611" xr:uid="{00000000-0005-0000-0000-000058020000}"/>
    <cellStyle name="Output Forecast Year" xfId="612" xr:uid="{00000000-0005-0000-0000-000059020000}"/>
    <cellStyle name="Output Heading 1" xfId="613" xr:uid="{00000000-0005-0000-0000-00005A020000}"/>
    <cellStyle name="Output Heading 2" xfId="614" xr:uid="{00000000-0005-0000-0000-00005B020000}"/>
    <cellStyle name="Output Heading 3" xfId="615" xr:uid="{00000000-0005-0000-0000-00005C020000}"/>
    <cellStyle name="Output Heading 4" xfId="616" xr:uid="{00000000-0005-0000-0000-00005D020000}"/>
    <cellStyle name="Output Middle Currency" xfId="617" xr:uid="{00000000-0005-0000-0000-00005E020000}"/>
    <cellStyle name="Output Middle Date" xfId="618" xr:uid="{00000000-0005-0000-0000-00005F020000}"/>
    <cellStyle name="Output Middle Multiple" xfId="619" xr:uid="{00000000-0005-0000-0000-000060020000}"/>
    <cellStyle name="Output Middle Number" xfId="620" xr:uid="{00000000-0005-0000-0000-000061020000}"/>
    <cellStyle name="Output Middle Percentage" xfId="621" xr:uid="{00000000-0005-0000-0000-000062020000}"/>
    <cellStyle name="Output Middle Title / Name" xfId="622" xr:uid="{00000000-0005-0000-0000-000063020000}"/>
    <cellStyle name="Output Middle Year" xfId="623" xr:uid="{00000000-0005-0000-0000-000064020000}"/>
    <cellStyle name="Output Sheet Title" xfId="624" xr:uid="{00000000-0005-0000-0000-000065020000}"/>
    <cellStyle name="Output-0com" xfId="625" xr:uid="{00000000-0005-0000-0000-000066020000}"/>
    <cellStyle name="Output-1com" xfId="626" xr:uid="{00000000-0005-0000-0000-000067020000}"/>
    <cellStyle name="Output-2per" xfId="627" xr:uid="{00000000-0005-0000-0000-000068020000}"/>
    <cellStyle name="Output-3dec" xfId="628" xr:uid="{00000000-0005-0000-0000-000069020000}"/>
    <cellStyle name="Output-3sci" xfId="629" xr:uid="{00000000-0005-0000-0000-00006A020000}"/>
    <cellStyle name="Output-4dec" xfId="630" xr:uid="{00000000-0005-0000-0000-00006B020000}"/>
    <cellStyle name="Page Number" xfId="631" xr:uid="{00000000-0005-0000-0000-00006C020000}"/>
    <cellStyle name="PCI" xfId="1" xr:uid="{00000000-0005-0000-0000-00006D020000}"/>
    <cellStyle name="per.style" xfId="632" xr:uid="{00000000-0005-0000-0000-00006E020000}"/>
    <cellStyle name="Percent" xfId="633" xr:uid="{00000000-0005-0000-0000-00006F020000}"/>
    <cellStyle name="Percent [0]" xfId="634" xr:uid="{00000000-0005-0000-0000-000070020000}"/>
    <cellStyle name="Percent [2]" xfId="635" xr:uid="{00000000-0005-0000-0000-000071020000}"/>
    <cellStyle name="Percent 2" xfId="636" xr:uid="{00000000-0005-0000-0000-000072020000}"/>
    <cellStyle name="Percent00" xfId="637" xr:uid="{00000000-0005-0000-0000-000073020000}"/>
    <cellStyle name="Percent2" xfId="638" xr:uid="{00000000-0005-0000-0000-000074020000}"/>
    <cellStyle name="Period Title" xfId="639" xr:uid="{00000000-0005-0000-0000-000075020000}"/>
    <cellStyle name="Presentation Currency" xfId="640" xr:uid="{00000000-0005-0000-0000-000076020000}"/>
    <cellStyle name="Presentation Date" xfId="641" xr:uid="{00000000-0005-0000-0000-000077020000}"/>
    <cellStyle name="Presentation Heading 1" xfId="642" xr:uid="{00000000-0005-0000-0000-000078020000}"/>
    <cellStyle name="Presentation Heading 2" xfId="643" xr:uid="{00000000-0005-0000-0000-000079020000}"/>
    <cellStyle name="Presentation Heading 3" xfId="644" xr:uid="{00000000-0005-0000-0000-00007A020000}"/>
    <cellStyle name="Presentation Heading 4" xfId="645" xr:uid="{00000000-0005-0000-0000-00007B020000}"/>
    <cellStyle name="Presentation Hyperlink Arrow" xfId="646" xr:uid="{00000000-0005-0000-0000-00007C020000}"/>
    <cellStyle name="Presentation Hyperlink Check" xfId="647" xr:uid="{00000000-0005-0000-0000-00007D020000}"/>
    <cellStyle name="Presentation Hyperlink Text" xfId="648" xr:uid="{00000000-0005-0000-0000-00007E020000}"/>
    <cellStyle name="Presentation Model Name" xfId="649" xr:uid="{00000000-0005-0000-0000-00007F020000}"/>
    <cellStyle name="Presentation Multiple" xfId="650" xr:uid="{00000000-0005-0000-0000-000080020000}"/>
    <cellStyle name="Presentation Normal" xfId="651" xr:uid="{00000000-0005-0000-0000-000081020000}"/>
    <cellStyle name="Presentation Number" xfId="652" xr:uid="{00000000-0005-0000-0000-000082020000}"/>
    <cellStyle name="Presentation Percentage" xfId="653" xr:uid="{00000000-0005-0000-0000-000083020000}"/>
    <cellStyle name="Presentation Period Title" xfId="654" xr:uid="{00000000-0005-0000-0000-000084020000}"/>
    <cellStyle name="Presentation Section Number" xfId="655" xr:uid="{00000000-0005-0000-0000-000085020000}"/>
    <cellStyle name="Presentation Sheet Title" xfId="656" xr:uid="{00000000-0005-0000-0000-000086020000}"/>
    <cellStyle name="Presentation Year" xfId="657" xr:uid="{00000000-0005-0000-0000-000087020000}"/>
    <cellStyle name="Proforma" xfId="658" xr:uid="{00000000-0005-0000-0000-000088020000}"/>
    <cellStyle name="PSChar" xfId="659" xr:uid="{00000000-0005-0000-0000-000089020000}"/>
    <cellStyle name="PSDate" xfId="660" xr:uid="{00000000-0005-0000-0000-00008A020000}"/>
    <cellStyle name="PSDec" xfId="661" xr:uid="{00000000-0005-0000-0000-00008B020000}"/>
    <cellStyle name="PSHeading" xfId="662" xr:uid="{00000000-0005-0000-0000-00008C020000}"/>
    <cellStyle name="PSInt" xfId="663" xr:uid="{00000000-0005-0000-0000-00008D020000}"/>
    <cellStyle name="PSSpacer" xfId="664" xr:uid="{00000000-0005-0000-0000-00008E020000}"/>
    <cellStyle name="Ratio" xfId="665" xr:uid="{00000000-0005-0000-0000-00008F020000}"/>
    <cellStyle name="regstoresfromspecstores" xfId="666" xr:uid="{00000000-0005-0000-0000-000090020000}"/>
    <cellStyle name="Report" xfId="667" xr:uid="{00000000-0005-0000-0000-000091020000}"/>
    <cellStyle name="RevList" xfId="668" xr:uid="{00000000-0005-0000-0000-000092020000}"/>
    <cellStyle name="Right Currency" xfId="669" xr:uid="{00000000-0005-0000-0000-000093020000}"/>
    <cellStyle name="Right Date" xfId="670" xr:uid="{00000000-0005-0000-0000-000094020000}"/>
    <cellStyle name="Right Multiple" xfId="671" xr:uid="{00000000-0005-0000-0000-000095020000}"/>
    <cellStyle name="Right Number" xfId="672" xr:uid="{00000000-0005-0000-0000-000096020000}"/>
    <cellStyle name="Right Percentage" xfId="673" xr:uid="{00000000-0005-0000-0000-000097020000}"/>
    <cellStyle name="Right Year" xfId="674" xr:uid="{00000000-0005-0000-0000-000098020000}"/>
    <cellStyle name="Section Number" xfId="675" xr:uid="{00000000-0005-0000-0000-000099020000}"/>
    <cellStyle name="SHADEDSTORES" xfId="676" xr:uid="{00000000-0005-0000-0000-00009A020000}"/>
    <cellStyle name="Sheet Title" xfId="677" xr:uid="{00000000-0005-0000-0000-00009B020000}"/>
    <cellStyle name="specstores" xfId="678" xr:uid="{00000000-0005-0000-0000-00009C020000}"/>
    <cellStyle name="Standard_Anpassen der Amortisation" xfId="679" xr:uid="{00000000-0005-0000-0000-00009D020000}"/>
    <cellStyle name="STYL0 - Style1" xfId="680" xr:uid="{00000000-0005-0000-0000-00009E020000}"/>
    <cellStyle name="STYL1 - Style2" xfId="681" xr:uid="{00000000-0005-0000-0000-00009F020000}"/>
    <cellStyle name="STYL2 - Style3" xfId="682" xr:uid="{00000000-0005-0000-0000-0000A0020000}"/>
    <cellStyle name="STYL3 - Style4" xfId="683" xr:uid="{00000000-0005-0000-0000-0000A1020000}"/>
    <cellStyle name="STYL4 - Style5" xfId="684" xr:uid="{00000000-0005-0000-0000-0000A2020000}"/>
    <cellStyle name="STYL5 - Style6" xfId="685" xr:uid="{00000000-0005-0000-0000-0000A3020000}"/>
    <cellStyle name="STYL6 - Style7" xfId="686" xr:uid="{00000000-0005-0000-0000-0000A4020000}"/>
    <cellStyle name="STYL7 - Style8" xfId="687" xr:uid="{00000000-0005-0000-0000-0000A5020000}"/>
    <cellStyle name="Style 1" xfId="688" xr:uid="{00000000-0005-0000-0000-0000A6020000}"/>
    <cellStyle name="Style 21" xfId="689" xr:uid="{00000000-0005-0000-0000-0000A7020000}"/>
    <cellStyle name="Style 22" xfId="690" xr:uid="{00000000-0005-0000-0000-0000A8020000}"/>
    <cellStyle name="Style 23" xfId="691" xr:uid="{00000000-0005-0000-0000-0000A9020000}"/>
    <cellStyle name="Style 24" xfId="692" xr:uid="{00000000-0005-0000-0000-0000AA020000}"/>
    <cellStyle name="Style 25" xfId="693" xr:uid="{00000000-0005-0000-0000-0000AB020000}"/>
    <cellStyle name="Style 26" xfId="694" xr:uid="{00000000-0005-0000-0000-0000AC020000}"/>
    <cellStyle name="Style 27" xfId="695" xr:uid="{00000000-0005-0000-0000-0000AD020000}"/>
    <cellStyle name="Style 28" xfId="696" xr:uid="{00000000-0005-0000-0000-0000AE020000}"/>
    <cellStyle name="Style 29" xfId="697" xr:uid="{00000000-0005-0000-0000-0000AF020000}"/>
    <cellStyle name="Style 30" xfId="698" xr:uid="{00000000-0005-0000-0000-0000B0020000}"/>
    <cellStyle name="Style 31" xfId="699" xr:uid="{00000000-0005-0000-0000-0000B1020000}"/>
    <cellStyle name="Style 32" xfId="700" xr:uid="{00000000-0005-0000-0000-0000B2020000}"/>
    <cellStyle name="Style 33" xfId="701" xr:uid="{00000000-0005-0000-0000-0000B3020000}"/>
    <cellStyle name="Style 34" xfId="702" xr:uid="{00000000-0005-0000-0000-0000B4020000}"/>
    <cellStyle name="Style 35" xfId="703" xr:uid="{00000000-0005-0000-0000-0000B5020000}"/>
    <cellStyle name="Style 36" xfId="704" xr:uid="{00000000-0005-0000-0000-0000B6020000}"/>
    <cellStyle name="style1" xfId="705" xr:uid="{00000000-0005-0000-0000-0000B7020000}"/>
    <cellStyle name="style10" xfId="706" xr:uid="{00000000-0005-0000-0000-0000B8020000}"/>
    <cellStyle name="style1a" xfId="707" xr:uid="{00000000-0005-0000-0000-0000B9020000}"/>
    <cellStyle name="Style2" xfId="708" xr:uid="{00000000-0005-0000-0000-0000BA020000}"/>
    <cellStyle name="Style3" xfId="709" xr:uid="{00000000-0005-0000-0000-0000BB020000}"/>
    <cellStyle name="Style4" xfId="710" xr:uid="{00000000-0005-0000-0000-0000BC020000}"/>
    <cellStyle name="Style5" xfId="711" xr:uid="{00000000-0005-0000-0000-0000BD020000}"/>
    <cellStyle name="Subhea - Style5" xfId="712" xr:uid="{00000000-0005-0000-0000-0000BE020000}"/>
    <cellStyle name="SubHead" xfId="713" xr:uid="{00000000-0005-0000-0000-0000BF020000}"/>
    <cellStyle name="Subheading" xfId="714" xr:uid="{00000000-0005-0000-0000-0000C0020000}"/>
    <cellStyle name="SubSubHead" xfId="715" xr:uid="{00000000-0005-0000-0000-0000C1020000}"/>
    <cellStyle name="Subtot - Style6" xfId="716" xr:uid="{00000000-0005-0000-0000-0000C2020000}"/>
    <cellStyle name="SubTotal" xfId="717" xr:uid="{00000000-0005-0000-0000-0000C3020000}"/>
    <cellStyle name="SubTotal 2" xfId="718" xr:uid="{00000000-0005-0000-0000-0000C4020000}"/>
    <cellStyle name="SubTotal 3" xfId="719" xr:uid="{00000000-0005-0000-0000-0000C5020000}"/>
    <cellStyle name="Subtotal_Financial Summary Sheet Sent to Marubeni" xfId="720" xr:uid="{00000000-0005-0000-0000-0000C6020000}"/>
    <cellStyle name="supplementary info" xfId="721" xr:uid="{00000000-0005-0000-0000-0000C7020000}"/>
    <cellStyle name="swiss" xfId="722" xr:uid="{00000000-0005-0000-0000-0000C8020000}"/>
    <cellStyle name="swiss input" xfId="723" xr:uid="{00000000-0005-0000-0000-0000C9020000}"/>
    <cellStyle name="swiss input1" xfId="724" xr:uid="{00000000-0005-0000-0000-0000CA020000}"/>
    <cellStyle name="swiss input2" xfId="725" xr:uid="{00000000-0005-0000-0000-0000CB020000}"/>
    <cellStyle name="swiss spec" xfId="726" xr:uid="{00000000-0005-0000-0000-0000CC020000}"/>
    <cellStyle name="System" xfId="727" xr:uid="{00000000-0005-0000-0000-0000CD020000}"/>
    <cellStyle name="Table Head" xfId="728" xr:uid="{00000000-0005-0000-0000-0000CE020000}"/>
    <cellStyle name="Table Head Aligned" xfId="729" xr:uid="{00000000-0005-0000-0000-0000CF020000}"/>
    <cellStyle name="Table Head Blue" xfId="730" xr:uid="{00000000-0005-0000-0000-0000D0020000}"/>
    <cellStyle name="Table Head Green" xfId="731" xr:uid="{00000000-0005-0000-0000-0000D1020000}"/>
    <cellStyle name="Table Title" xfId="732" xr:uid="{00000000-0005-0000-0000-0000D2020000}"/>
    <cellStyle name="Table Units" xfId="733" xr:uid="{00000000-0005-0000-0000-0000D3020000}"/>
    <cellStyle name="Times New Roman" xfId="734" xr:uid="{00000000-0005-0000-0000-0000D4020000}"/>
    <cellStyle name="Title" xfId="735" xr:uid="{00000000-0005-0000-0000-0000D5020000}"/>
    <cellStyle name="Title - Style7" xfId="736" xr:uid="{00000000-0005-0000-0000-0000D6020000}"/>
    <cellStyle name="Title 1" xfId="737" xr:uid="{00000000-0005-0000-0000-0000D7020000}"/>
    <cellStyle name="Title 2" xfId="738" xr:uid="{00000000-0005-0000-0000-0000D8020000}"/>
    <cellStyle name="Title Large" xfId="739" xr:uid="{00000000-0005-0000-0000-0000D9020000}"/>
    <cellStyle name="Title Row" xfId="740" xr:uid="{00000000-0005-0000-0000-0000DA020000}"/>
    <cellStyle name="Title_Ambient Temp vs  MW vl" xfId="741" xr:uid="{00000000-0005-0000-0000-0000DB020000}"/>
    <cellStyle name="Titles 1" xfId="742" xr:uid="{00000000-0005-0000-0000-0000DC020000}"/>
    <cellStyle name="Titles 2" xfId="743" xr:uid="{00000000-0005-0000-0000-0000DD020000}"/>
    <cellStyle name="TOC 1" xfId="744" xr:uid="{00000000-0005-0000-0000-0000DE020000}"/>
    <cellStyle name="TOC 2" xfId="745" xr:uid="{00000000-0005-0000-0000-0000DF020000}"/>
    <cellStyle name="TOC 3" xfId="746" xr:uid="{00000000-0005-0000-0000-0000E0020000}"/>
    <cellStyle name="TOC 4" xfId="747" xr:uid="{00000000-0005-0000-0000-0000E1020000}"/>
    <cellStyle name="Total" xfId="748" xr:uid="{00000000-0005-0000-0000-0000E2020000}"/>
    <cellStyle name="TotVars" xfId="749" xr:uid="{00000000-0005-0000-0000-0000E3020000}"/>
    <cellStyle name="Units" xfId="750" xr:uid="{00000000-0005-0000-0000-0000E4020000}"/>
    <cellStyle name="Unprot" xfId="751" xr:uid="{00000000-0005-0000-0000-0000E5020000}"/>
    <cellStyle name="Unprot$" xfId="752" xr:uid="{00000000-0005-0000-0000-0000E6020000}"/>
    <cellStyle name="Unprotect" xfId="753" xr:uid="{00000000-0005-0000-0000-0000E7020000}"/>
    <cellStyle name="Währung [0]_Compiling Utility Macros" xfId="754" xr:uid="{00000000-0005-0000-0000-0000E8020000}"/>
    <cellStyle name="Währung_Compiling Utility Macros" xfId="755" xr:uid="{00000000-0005-0000-0000-0000E9020000}"/>
    <cellStyle name="Warning Text" xfId="756" xr:uid="{00000000-0005-0000-0000-0000EA020000}"/>
    <cellStyle name="Working" xfId="757" xr:uid="{00000000-0005-0000-0000-0000EB020000}"/>
    <cellStyle name="W臧rung [0]_Global Data " xfId="758" xr:uid="{00000000-0005-0000-0000-0000EC020000}"/>
    <cellStyle name="W臧rung_Global Data " xfId="759" xr:uid="{00000000-0005-0000-0000-0000ED020000}"/>
    <cellStyle name="x Text - 10 (Normal)" xfId="760" xr:uid="{00000000-0005-0000-0000-0000EE020000}"/>
    <cellStyle name="x Text - 18 B" xfId="761" xr:uid="{00000000-0005-0000-0000-0000EF020000}"/>
    <cellStyle name="Year" xfId="762" xr:uid="{00000000-0005-0000-0000-0000F0020000}"/>
    <cellStyle name="z All - Normal" xfId="763" xr:uid="{00000000-0005-0000-0000-0000F1020000}"/>
    <cellStyle name="z Normal Format" xfId="764" xr:uid="{00000000-0005-0000-0000-0000F2020000}"/>
    <cellStyle name="z Text - Border/Pattern" xfId="765" xr:uid="{00000000-0005-0000-0000-0000F3020000}"/>
    <cellStyle name="アクセント 1 2" xfId="766" xr:uid="{00000000-0005-0000-0000-0000F4020000}"/>
    <cellStyle name="アクセント 1 2 2" xfId="767" xr:uid="{00000000-0005-0000-0000-0000F5020000}"/>
    <cellStyle name="アクセント 2 2" xfId="768" xr:uid="{00000000-0005-0000-0000-0000F6020000}"/>
    <cellStyle name="アクセント 2 2 2" xfId="769" xr:uid="{00000000-0005-0000-0000-0000F7020000}"/>
    <cellStyle name="アクセント 3 2" xfId="770" xr:uid="{00000000-0005-0000-0000-0000F8020000}"/>
    <cellStyle name="アクセント 3 2 2" xfId="771" xr:uid="{00000000-0005-0000-0000-0000F9020000}"/>
    <cellStyle name="アクセント 4 2" xfId="772" xr:uid="{00000000-0005-0000-0000-0000FA020000}"/>
    <cellStyle name="アクセント 4 2 2" xfId="773" xr:uid="{00000000-0005-0000-0000-0000FB020000}"/>
    <cellStyle name="アクセント 5 2" xfId="774" xr:uid="{00000000-0005-0000-0000-0000FC020000}"/>
    <cellStyle name="アクセント 5 2 2" xfId="775" xr:uid="{00000000-0005-0000-0000-0000FD020000}"/>
    <cellStyle name="アクセント 6 2" xfId="776" xr:uid="{00000000-0005-0000-0000-0000FE020000}"/>
    <cellStyle name="アクセント 6 2 2" xfId="777" xr:uid="{00000000-0005-0000-0000-0000FF020000}"/>
    <cellStyle name="タイトル 2" xfId="778" xr:uid="{00000000-0005-0000-0000-000000030000}"/>
    <cellStyle name="タイトル 2 2" xfId="779" xr:uid="{00000000-0005-0000-0000-000001030000}"/>
    <cellStyle name="チェック セル 2" xfId="780" xr:uid="{00000000-0005-0000-0000-000002030000}"/>
    <cellStyle name="チェック セル 2 2" xfId="781" xr:uid="{00000000-0005-0000-0000-000003030000}"/>
    <cellStyle name="どちらでもない 2" xfId="782" xr:uid="{00000000-0005-0000-0000-000004030000}"/>
    <cellStyle name="どちらでもない 2 2" xfId="783" xr:uid="{00000000-0005-0000-0000-000005030000}"/>
    <cellStyle name="パーセント" xfId="851" builtinId="5"/>
    <cellStyle name="パーセント 2" xfId="784" xr:uid="{00000000-0005-0000-0000-000007030000}"/>
    <cellStyle name="パーセント 2 2" xfId="785" xr:uid="{00000000-0005-0000-0000-000008030000}"/>
    <cellStyle name="パーセント 3" xfId="786" xr:uid="{00000000-0005-0000-0000-000009030000}"/>
    <cellStyle name="パーセント 4" xfId="787" xr:uid="{00000000-0005-0000-0000-00000A030000}"/>
    <cellStyle name="パーセント 5" xfId="788" xr:uid="{00000000-0005-0000-0000-00000B030000}"/>
    <cellStyle name="パーセント 6" xfId="854" xr:uid="{DD641A7B-728C-417D-A4CE-AA8768286CD4}"/>
    <cellStyle name="メモ 2" xfId="789" xr:uid="{00000000-0005-0000-0000-00000C030000}"/>
    <cellStyle name="メモ 2 2" xfId="790" xr:uid="{00000000-0005-0000-0000-00000D030000}"/>
    <cellStyle name="リンク セル 2" xfId="791" xr:uid="{00000000-0005-0000-0000-00000E030000}"/>
    <cellStyle name="リンク セル 2 2" xfId="792" xr:uid="{00000000-0005-0000-0000-00000F030000}"/>
    <cellStyle name="悪い 2" xfId="793" xr:uid="{00000000-0005-0000-0000-000010030000}"/>
    <cellStyle name="悪い 2 2" xfId="794" xr:uid="{00000000-0005-0000-0000-000011030000}"/>
    <cellStyle name="計算 2" xfId="795" xr:uid="{00000000-0005-0000-0000-000012030000}"/>
    <cellStyle name="計算 2 2" xfId="796" xr:uid="{00000000-0005-0000-0000-000013030000}"/>
    <cellStyle name="警告文 2" xfId="797" xr:uid="{00000000-0005-0000-0000-000014030000}"/>
    <cellStyle name="警告文 2 2" xfId="798" xr:uid="{00000000-0005-0000-0000-000015030000}"/>
    <cellStyle name="桁区切り" xfId="850" builtinId="6"/>
    <cellStyle name="桁区切り 2" xfId="2" xr:uid="{00000000-0005-0000-0000-000017030000}"/>
    <cellStyle name="桁区切り 3" xfId="799" xr:uid="{00000000-0005-0000-0000-000018030000}"/>
    <cellStyle name="桁区切り 4" xfId="800" xr:uid="{00000000-0005-0000-0000-000019030000}"/>
    <cellStyle name="桁区切り 5" xfId="801" xr:uid="{00000000-0005-0000-0000-00001A030000}"/>
    <cellStyle name="桁区切り 6" xfId="802" xr:uid="{00000000-0005-0000-0000-00001B030000}"/>
    <cellStyle name="桁区切り 7" xfId="803" xr:uid="{00000000-0005-0000-0000-00001C030000}"/>
    <cellStyle name="桁区切り 8" xfId="853" xr:uid="{FAFB1846-753E-4D55-9227-A5C573D62BF2}"/>
    <cellStyle name="見出し 1 2" xfId="804" xr:uid="{00000000-0005-0000-0000-00001D030000}"/>
    <cellStyle name="見出し 1 2 2" xfId="805" xr:uid="{00000000-0005-0000-0000-00001E030000}"/>
    <cellStyle name="見出し 2 2" xfId="806" xr:uid="{00000000-0005-0000-0000-00001F030000}"/>
    <cellStyle name="見出し 2 2 2" xfId="807" xr:uid="{00000000-0005-0000-0000-000020030000}"/>
    <cellStyle name="見出し 3 2" xfId="808" xr:uid="{00000000-0005-0000-0000-000021030000}"/>
    <cellStyle name="見出し 3 2 2" xfId="809" xr:uid="{00000000-0005-0000-0000-000022030000}"/>
    <cellStyle name="見出し 4 2" xfId="810" xr:uid="{00000000-0005-0000-0000-000023030000}"/>
    <cellStyle name="見出し 4 2 2" xfId="811" xr:uid="{00000000-0005-0000-0000-000024030000}"/>
    <cellStyle name="集計 2" xfId="812" xr:uid="{00000000-0005-0000-0000-000025030000}"/>
    <cellStyle name="集計 2 2" xfId="813" xr:uid="{00000000-0005-0000-0000-000026030000}"/>
    <cellStyle name="出力 2" xfId="814" xr:uid="{00000000-0005-0000-0000-000027030000}"/>
    <cellStyle name="出力 2 2" xfId="815" xr:uid="{00000000-0005-0000-0000-000028030000}"/>
    <cellStyle name="説明文 2" xfId="816" xr:uid="{00000000-0005-0000-0000-000029030000}"/>
    <cellStyle name="説明文 2 2" xfId="817" xr:uid="{00000000-0005-0000-0000-00002A030000}"/>
    <cellStyle name="入力 2" xfId="818" xr:uid="{00000000-0005-0000-0000-00002B030000}"/>
    <cellStyle name="入力 2 2" xfId="819" xr:uid="{00000000-0005-0000-0000-00002C030000}"/>
    <cellStyle name="標準" xfId="0" builtinId="0"/>
    <cellStyle name="標準 10" xfId="820" xr:uid="{00000000-0005-0000-0000-00002E030000}"/>
    <cellStyle name="標準 11" xfId="821" xr:uid="{00000000-0005-0000-0000-00002F030000}"/>
    <cellStyle name="標準 12" xfId="822" xr:uid="{00000000-0005-0000-0000-000030030000}"/>
    <cellStyle name="標準 13" xfId="823" xr:uid="{00000000-0005-0000-0000-000031030000}"/>
    <cellStyle name="標準 14" xfId="824" xr:uid="{00000000-0005-0000-0000-000032030000}"/>
    <cellStyle name="標準 15" xfId="9" xr:uid="{00000000-0005-0000-0000-000033030000}"/>
    <cellStyle name="標準 16" xfId="825" xr:uid="{00000000-0005-0000-0000-000034030000}"/>
    <cellStyle name="標準 17" xfId="826" xr:uid="{00000000-0005-0000-0000-000035030000}"/>
    <cellStyle name="標準 18" xfId="827" xr:uid="{00000000-0005-0000-0000-000036030000}"/>
    <cellStyle name="標準 19" xfId="7" xr:uid="{00000000-0005-0000-0000-000037030000}"/>
    <cellStyle name="標準 2" xfId="3" xr:uid="{00000000-0005-0000-0000-000038030000}"/>
    <cellStyle name="標準 2 2" xfId="828" xr:uid="{00000000-0005-0000-0000-000039030000}"/>
    <cellStyle name="標準 2 3" xfId="829" xr:uid="{00000000-0005-0000-0000-00003A030000}"/>
    <cellStyle name="標準 2 4" xfId="830" xr:uid="{00000000-0005-0000-0000-00003B030000}"/>
    <cellStyle name="標準 2_Financial Summary Sheet Sent to Marubeni" xfId="831" xr:uid="{00000000-0005-0000-0000-00003C030000}"/>
    <cellStyle name="標準 20" xfId="8" xr:uid="{00000000-0005-0000-0000-00003D030000}"/>
    <cellStyle name="標準 21" xfId="10" xr:uid="{00000000-0005-0000-0000-00003E030000}"/>
    <cellStyle name="標準 22" xfId="832" xr:uid="{00000000-0005-0000-0000-00003F030000}"/>
    <cellStyle name="標準 23" xfId="5" xr:uid="{00000000-0005-0000-0000-000040030000}"/>
    <cellStyle name="標準 24" xfId="833" xr:uid="{00000000-0005-0000-0000-000041030000}"/>
    <cellStyle name="標準 25" xfId="6" xr:uid="{00000000-0005-0000-0000-000042030000}"/>
    <cellStyle name="標準 26" xfId="834" xr:uid="{00000000-0005-0000-0000-000043030000}"/>
    <cellStyle name="標準 27" xfId="835" xr:uid="{00000000-0005-0000-0000-000044030000}"/>
    <cellStyle name="標準 28" xfId="836" xr:uid="{00000000-0005-0000-0000-000045030000}"/>
    <cellStyle name="標準 29" xfId="837" xr:uid="{00000000-0005-0000-0000-000046030000}"/>
    <cellStyle name="標準 3" xfId="4" xr:uid="{00000000-0005-0000-0000-000047030000}"/>
    <cellStyle name="標準 30" xfId="838" xr:uid="{00000000-0005-0000-0000-000048030000}"/>
    <cellStyle name="標準 31" xfId="839" xr:uid="{00000000-0005-0000-0000-000049030000}"/>
    <cellStyle name="標準 32" xfId="840" xr:uid="{00000000-0005-0000-0000-00004A030000}"/>
    <cellStyle name="標準 33" xfId="841" xr:uid="{00000000-0005-0000-0000-00004B030000}"/>
    <cellStyle name="標準 34" xfId="852" xr:uid="{7CF4A635-AC97-4546-BFEC-2A19EDFB265C}"/>
    <cellStyle name="標準 4" xfId="842" xr:uid="{00000000-0005-0000-0000-00004C030000}"/>
    <cellStyle name="標準 5" xfId="843" xr:uid="{00000000-0005-0000-0000-00004D030000}"/>
    <cellStyle name="標準 6" xfId="844" xr:uid="{00000000-0005-0000-0000-00004E030000}"/>
    <cellStyle name="標準 7" xfId="845" xr:uid="{00000000-0005-0000-0000-00004F030000}"/>
    <cellStyle name="標準 8" xfId="846" xr:uid="{00000000-0005-0000-0000-000050030000}"/>
    <cellStyle name="標準 9" xfId="847" xr:uid="{00000000-0005-0000-0000-000051030000}"/>
    <cellStyle name="良い 2" xfId="848" xr:uid="{00000000-0005-0000-0000-000052030000}"/>
    <cellStyle name="良い 2 2" xfId="849" xr:uid="{00000000-0005-0000-0000-000053030000}"/>
  </cellStyles>
  <dxfs count="0"/>
  <tableStyles count="0" defaultTableStyle="TableStyleMedium2" defaultPivotStyle="PivotStyleLight16"/>
  <colors>
    <mruColors>
      <color rgb="FF0066FF"/>
      <color rgb="FF66FFFF"/>
      <color rgb="FFFF9999"/>
      <color rgb="FFFFFF99"/>
      <color rgb="FFFF00FF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AF8C-6086-F341-9949-BF9E4337A771}">
  <sheetPr>
    <tabColor rgb="FF00B0F0"/>
    <pageSetUpPr fitToPage="1"/>
  </sheetPr>
  <dimension ref="A1:AA77"/>
  <sheetViews>
    <sheetView showGridLines="0" tabSelected="1" view="pageBreakPreview" zoomScale="70" zoomScaleNormal="85" zoomScaleSheetLayoutView="70" workbookViewId="0">
      <selection activeCell="U4" sqref="U4:U5"/>
    </sheetView>
  </sheetViews>
  <sheetFormatPr defaultColWidth="8.7109375" defaultRowHeight="15.75"/>
  <cols>
    <col min="1" max="1" width="4.42578125" style="1" customWidth="1"/>
    <col min="2" max="2" width="34.7109375" style="1" customWidth="1"/>
    <col min="3" max="3" width="23.28515625" style="1" customWidth="1"/>
    <col min="4" max="4" width="22" style="31" customWidth="1"/>
    <col min="5" max="5" width="24.28515625" style="1" customWidth="1"/>
    <col min="6" max="6" width="4.7109375" style="1" customWidth="1"/>
    <col min="7" max="7" width="49.85546875" style="1" bestFit="1" customWidth="1"/>
    <col min="8" max="8" width="11.28515625" style="145" customWidth="1"/>
    <col min="9" max="9" width="11.85546875" style="1" customWidth="1"/>
    <col min="10" max="10" width="5" style="31" customWidth="1"/>
    <col min="11" max="11" width="16.140625" style="1" customWidth="1"/>
    <col min="12" max="12" width="4.28515625" style="1" customWidth="1"/>
    <col min="13" max="13" width="10.85546875" style="1" customWidth="1"/>
    <col min="14" max="14" width="3.7109375" style="1" customWidth="1"/>
    <col min="15" max="15" width="48.28515625" style="1" customWidth="1"/>
    <col min="16" max="16" width="9.7109375" style="1" customWidth="1"/>
    <col min="17" max="17" width="9.42578125" style="1" bestFit="1" customWidth="1"/>
    <col min="18" max="18" width="11.42578125" style="1" customWidth="1"/>
    <col min="19" max="19" width="12.28515625" style="1" customWidth="1"/>
    <col min="20" max="20" width="11.42578125" style="1" customWidth="1"/>
    <col min="21" max="21" width="10" style="1" customWidth="1"/>
    <col min="22" max="22" width="2.28515625" style="1" customWidth="1"/>
    <col min="23" max="23" width="10.28515625" style="1" customWidth="1"/>
    <col min="24" max="16384" width="8.7109375" style="1"/>
  </cols>
  <sheetData>
    <row r="1" spans="1:21" ht="16.5" thickBot="1">
      <c r="R1" s="533"/>
      <c r="S1" s="534"/>
      <c r="T1" s="534"/>
      <c r="U1" s="534"/>
    </row>
    <row r="2" spans="1:21" ht="23.45" customHeight="1" thickBot="1">
      <c r="B2" s="550" t="s">
        <v>178</v>
      </c>
      <c r="C2" s="551"/>
      <c r="D2" s="551"/>
      <c r="E2" s="551"/>
      <c r="F2" s="551"/>
      <c r="G2" s="552"/>
      <c r="I2" s="146" t="s">
        <v>125</v>
      </c>
      <c r="J2" s="535" t="s">
        <v>126</v>
      </c>
      <c r="K2" s="536"/>
      <c r="L2" s="536"/>
      <c r="M2" s="537"/>
      <c r="O2" s="545" t="s">
        <v>208</v>
      </c>
      <c r="P2" s="546"/>
      <c r="Q2" s="546"/>
      <c r="R2" s="546"/>
      <c r="S2" s="546"/>
      <c r="T2" s="546"/>
      <c r="U2" s="547"/>
    </row>
    <row r="3" spans="1:21" ht="16.149999999999999" customHeight="1" thickBot="1">
      <c r="A3" s="32"/>
      <c r="B3" s="131"/>
      <c r="C3" s="32"/>
      <c r="D3" s="33"/>
      <c r="E3" s="32"/>
      <c r="F3" s="32"/>
      <c r="T3" s="133" t="s">
        <v>0</v>
      </c>
      <c r="U3" s="147">
        <f>L19</f>
        <v>9.0070852237211563E-2</v>
      </c>
    </row>
    <row r="4" spans="1:21" ht="30" customHeight="1" thickBot="1">
      <c r="B4" s="538" t="s">
        <v>251</v>
      </c>
      <c r="C4" s="539"/>
      <c r="D4" s="539"/>
      <c r="E4" s="540"/>
      <c r="F4" s="3"/>
      <c r="G4" s="538" t="s">
        <v>163</v>
      </c>
      <c r="H4" s="539"/>
      <c r="I4" s="539"/>
      <c r="J4" s="539"/>
      <c r="K4" s="539"/>
      <c r="L4" s="539"/>
      <c r="M4" s="540"/>
      <c r="O4" s="133" t="s">
        <v>242</v>
      </c>
      <c r="P4" s="148" t="s">
        <v>237</v>
      </c>
      <c r="Q4" s="149" t="s">
        <v>238</v>
      </c>
      <c r="R4" s="149" t="s">
        <v>239</v>
      </c>
      <c r="S4" s="149" t="s">
        <v>240</v>
      </c>
      <c r="T4" s="149" t="s">
        <v>241</v>
      </c>
      <c r="U4" s="548" t="s">
        <v>296</v>
      </c>
    </row>
    <row r="5" spans="1:21" ht="32.25" customHeight="1" thickBot="1">
      <c r="A5" s="1">
        <v>1</v>
      </c>
      <c r="B5" s="150" t="s">
        <v>165</v>
      </c>
      <c r="C5" s="151">
        <f>C6*C7</f>
        <v>1000000</v>
      </c>
      <c r="D5" s="152" t="s">
        <v>1</v>
      </c>
      <c r="E5" s="153"/>
      <c r="F5" s="3">
        <v>12</v>
      </c>
      <c r="G5" s="410" t="s">
        <v>2</v>
      </c>
      <c r="H5" s="411"/>
      <c r="I5" s="412"/>
      <c r="J5" s="412"/>
      <c r="K5" s="413"/>
      <c r="L5" s="414"/>
      <c r="M5" s="415"/>
      <c r="O5" s="134" t="s">
        <v>250</v>
      </c>
      <c r="P5" s="155">
        <v>2026</v>
      </c>
      <c r="Q5" s="156">
        <f>P5+7</f>
        <v>2033</v>
      </c>
      <c r="R5" s="156">
        <f>Q5+5</f>
        <v>2038</v>
      </c>
      <c r="S5" s="156">
        <f>R5+5</f>
        <v>2043</v>
      </c>
      <c r="T5" s="157">
        <f>S5+2</f>
        <v>2045</v>
      </c>
      <c r="U5" s="549"/>
    </row>
    <row r="6" spans="1:21" ht="18.600000000000001" customHeight="1">
      <c r="A6" s="1">
        <v>2</v>
      </c>
      <c r="B6" s="158" t="s">
        <v>164</v>
      </c>
      <c r="C6" s="159">
        <v>3000</v>
      </c>
      <c r="D6" s="160" t="s">
        <v>3</v>
      </c>
      <c r="E6" s="161"/>
      <c r="F6" s="162" t="s">
        <v>4</v>
      </c>
      <c r="G6" s="163" t="s">
        <v>191</v>
      </c>
      <c r="H6" s="416">
        <v>17</v>
      </c>
      <c r="I6" s="417" t="s">
        <v>5</v>
      </c>
      <c r="J6" s="418"/>
      <c r="K6" s="419"/>
      <c r="L6" s="420"/>
      <c r="M6" s="421"/>
      <c r="N6" s="67">
        <v>1</v>
      </c>
      <c r="O6" s="402" t="s">
        <v>227</v>
      </c>
      <c r="P6" s="403">
        <f>P7+P8+P9</f>
        <v>42.447949999999999</v>
      </c>
      <c r="Q6" s="403">
        <f t="shared" ref="Q6:U6" si="0">Q7+Q8+Q9</f>
        <v>42.447949999999999</v>
      </c>
      <c r="R6" s="403">
        <f t="shared" si="0"/>
        <v>42.447949999999999</v>
      </c>
      <c r="S6" s="403">
        <f t="shared" si="0"/>
        <v>42.447949999999999</v>
      </c>
      <c r="T6" s="403">
        <f t="shared" si="0"/>
        <v>42.447949999999999</v>
      </c>
      <c r="U6" s="403">
        <f t="shared" si="0"/>
        <v>42.805823750000002</v>
      </c>
    </row>
    <row r="7" spans="1:21" ht="18.600000000000001" customHeight="1">
      <c r="A7" s="1">
        <v>3</v>
      </c>
      <c r="B7" s="165" t="s">
        <v>170</v>
      </c>
      <c r="C7" s="166">
        <f>8000/24</f>
        <v>333.33333333333331</v>
      </c>
      <c r="D7" s="167" t="s">
        <v>6</v>
      </c>
      <c r="E7" s="168"/>
      <c r="F7" s="162"/>
      <c r="G7" s="491" t="s">
        <v>265</v>
      </c>
      <c r="H7" s="422">
        <f>H6*1000*24/C6</f>
        <v>136</v>
      </c>
      <c r="I7" s="423" t="s">
        <v>7</v>
      </c>
      <c r="J7" s="424"/>
      <c r="K7" s="425"/>
      <c r="L7" s="426"/>
      <c r="M7" s="427"/>
      <c r="N7" s="67"/>
      <c r="O7" s="404" t="s">
        <v>232</v>
      </c>
      <c r="P7" s="405">
        <f>H25</f>
        <v>5.8999999999999995</v>
      </c>
      <c r="Q7" s="406">
        <f>P7*(1+$P$28)^7</f>
        <v>5.8999999999999995</v>
      </c>
      <c r="R7" s="406">
        <f t="shared" ref="R7:R9" si="1">Q7*(1+$P$28)^5</f>
        <v>5.8999999999999995</v>
      </c>
      <c r="S7" s="406">
        <f>R7*(1+$P$28)^5</f>
        <v>5.8999999999999995</v>
      </c>
      <c r="T7" s="406">
        <f>R7*(1+$P$28)^10</f>
        <v>5.8999999999999995</v>
      </c>
      <c r="U7" s="214">
        <f>-'IRR (NG+CCS)'!AC34</f>
        <v>6.0474999999999994</v>
      </c>
    </row>
    <row r="8" spans="1:21" ht="18.600000000000001" customHeight="1">
      <c r="A8" s="1">
        <v>4</v>
      </c>
      <c r="B8" s="169" t="s">
        <v>166</v>
      </c>
      <c r="C8" s="170">
        <v>100</v>
      </c>
      <c r="D8" s="160" t="s">
        <v>8</v>
      </c>
      <c r="E8" s="171" t="s">
        <v>245</v>
      </c>
      <c r="F8" s="162" t="s">
        <v>9</v>
      </c>
      <c r="G8" s="172" t="s">
        <v>192</v>
      </c>
      <c r="H8" s="428">
        <v>32.162999999999997</v>
      </c>
      <c r="I8" s="423" t="s">
        <v>10</v>
      </c>
      <c r="J8" s="424"/>
      <c r="K8" s="425"/>
      <c r="L8" s="426"/>
      <c r="M8" s="427"/>
      <c r="N8" s="67"/>
      <c r="O8" s="173" t="s">
        <v>233</v>
      </c>
      <c r="P8" s="407">
        <f>H26</f>
        <v>18.47475</v>
      </c>
      <c r="Q8" s="406">
        <f>P8*(1+$P$28)^7</f>
        <v>18.47475</v>
      </c>
      <c r="R8" s="406">
        <f t="shared" si="1"/>
        <v>18.47475</v>
      </c>
      <c r="S8" s="406">
        <f>R8*(1+$P$28)^5</f>
        <v>18.47475</v>
      </c>
      <c r="T8" s="406">
        <f>R8*(1+$P$28)^10</f>
        <v>18.47475</v>
      </c>
      <c r="U8" s="245">
        <f>-'IRR (NG+CCS)'!AC36</f>
        <v>18.47475</v>
      </c>
    </row>
    <row r="9" spans="1:21" ht="32.25" thickBot="1">
      <c r="A9" s="1">
        <v>5</v>
      </c>
      <c r="B9" s="132" t="s">
        <v>167</v>
      </c>
      <c r="C9" s="174" t="s">
        <v>246</v>
      </c>
      <c r="D9" s="99"/>
      <c r="E9" s="100"/>
      <c r="F9" s="162"/>
      <c r="G9" s="175" t="s">
        <v>193</v>
      </c>
      <c r="H9" s="429">
        <f>H8/C6*1000</f>
        <v>10.721</v>
      </c>
      <c r="I9" s="423" t="s">
        <v>11</v>
      </c>
      <c r="J9" s="424"/>
      <c r="K9" s="425"/>
      <c r="L9" s="426"/>
      <c r="M9" s="427"/>
      <c r="N9" s="67"/>
      <c r="O9" s="176" t="s">
        <v>236</v>
      </c>
      <c r="P9" s="408">
        <f>H27+H29+H28</f>
        <v>18.0732</v>
      </c>
      <c r="Q9" s="406">
        <f>P9*(1+$P$28)^7</f>
        <v>18.0732</v>
      </c>
      <c r="R9" s="406">
        <f t="shared" si="1"/>
        <v>18.0732</v>
      </c>
      <c r="S9" s="406">
        <f>R9*(1+$P$28)^5</f>
        <v>18.0732</v>
      </c>
      <c r="T9" s="406">
        <f>R9*(1+$P$28)^10</f>
        <v>18.0732</v>
      </c>
      <c r="U9" s="409">
        <f>-'IRR (NG+CCS)'!AC35-'IRR (NG+CCS)'!AC37</f>
        <v>18.283573750000002</v>
      </c>
    </row>
    <row r="10" spans="1:21" ht="36" customHeight="1" thickBot="1">
      <c r="A10" s="1">
        <v>6</v>
      </c>
      <c r="B10" s="177" t="s">
        <v>257</v>
      </c>
      <c r="C10" s="178" t="s">
        <v>260</v>
      </c>
      <c r="D10" s="179"/>
      <c r="E10" s="180"/>
      <c r="F10" s="162" t="s">
        <v>13</v>
      </c>
      <c r="G10" s="430" t="s">
        <v>266</v>
      </c>
      <c r="H10" s="431">
        <v>6.1</v>
      </c>
      <c r="I10" s="432" t="s">
        <v>14</v>
      </c>
      <c r="J10" s="433"/>
      <c r="K10" s="434"/>
      <c r="L10" s="435"/>
      <c r="M10" s="436"/>
      <c r="N10" s="67">
        <v>2</v>
      </c>
      <c r="O10" s="402" t="s">
        <v>271</v>
      </c>
      <c r="P10" s="403">
        <f>P11+P12+P13</f>
        <v>168.96625731151136</v>
      </c>
      <c r="Q10" s="403">
        <f t="shared" ref="Q10" si="2">Q11+Q12+Q13</f>
        <v>168.96625731151136</v>
      </c>
      <c r="R10" s="403">
        <f t="shared" ref="R10:S10" si="3">R11+R12+R13</f>
        <v>168.96625731151136</v>
      </c>
      <c r="S10" s="403">
        <f t="shared" si="3"/>
        <v>168.96625731151136</v>
      </c>
      <c r="T10" s="403">
        <f t="shared" ref="T10:U10" si="4">T11+T12+T13</f>
        <v>168.96625731151136</v>
      </c>
      <c r="U10" s="403">
        <f t="shared" si="4"/>
        <v>168.96625731151136</v>
      </c>
    </row>
    <row r="11" spans="1:21" ht="18.600000000000001" customHeight="1">
      <c r="A11" s="1">
        <v>7</v>
      </c>
      <c r="B11" s="562" t="s">
        <v>258</v>
      </c>
      <c r="C11" s="181">
        <v>9</v>
      </c>
      <c r="D11" s="182" t="s">
        <v>15</v>
      </c>
      <c r="E11" s="183" t="s">
        <v>16</v>
      </c>
      <c r="F11" s="162" t="s">
        <v>17</v>
      </c>
      <c r="G11" s="437" t="s">
        <v>195</v>
      </c>
      <c r="H11" s="438"/>
      <c r="I11" s="439"/>
      <c r="J11" s="440"/>
      <c r="K11" s="441"/>
      <c r="L11" s="67"/>
      <c r="M11" s="442"/>
      <c r="N11" s="67"/>
      <c r="O11" s="186" t="s">
        <v>234</v>
      </c>
      <c r="P11" s="408">
        <f>H32</f>
        <v>107.16523869346734</v>
      </c>
      <c r="Q11" s="406">
        <f>P11*(1+$P$27)^7</f>
        <v>107.16523869346734</v>
      </c>
      <c r="R11" s="406">
        <f>Q11*(1+$P$27)^5</f>
        <v>107.16523869346734</v>
      </c>
      <c r="S11" s="406">
        <f>R11*(1+$P$27)^5</f>
        <v>107.16523869346734</v>
      </c>
      <c r="T11" s="406">
        <f>R11*(1+$P$27)^10</f>
        <v>107.16523869346734</v>
      </c>
      <c r="U11" s="409">
        <f>-'IRR (NG+CCS)'!AC38</f>
        <v>107.16523869346736</v>
      </c>
    </row>
    <row r="12" spans="1:21" ht="20.45" customHeight="1" thickBot="1">
      <c r="B12" s="563"/>
      <c r="C12" s="187">
        <f>C11*1000/(D40*238.8)</f>
        <v>0.69664403347606785</v>
      </c>
      <c r="D12" s="188" t="s">
        <v>18</v>
      </c>
      <c r="E12" s="189" t="s">
        <v>16</v>
      </c>
      <c r="F12" s="3"/>
      <c r="G12" s="190" t="s">
        <v>19</v>
      </c>
      <c r="H12" s="191">
        <f>J12*L12</f>
        <v>2</v>
      </c>
      <c r="I12" s="443" t="s">
        <v>194</v>
      </c>
      <c r="J12" s="70">
        <v>2</v>
      </c>
      <c r="K12" s="192" t="s">
        <v>197</v>
      </c>
      <c r="L12" s="69">
        <v>1</v>
      </c>
      <c r="M12" s="442" t="s">
        <v>198</v>
      </c>
      <c r="N12" s="67"/>
      <c r="O12" s="193" t="s">
        <v>231</v>
      </c>
      <c r="P12" s="407">
        <f>H36</f>
        <v>39.748418618044006</v>
      </c>
      <c r="Q12" s="406">
        <f>P12*(1+$P$28)^7</f>
        <v>39.748418618044006</v>
      </c>
      <c r="R12" s="406">
        <f>Q12*(1+$P$28)^5</f>
        <v>39.748418618044006</v>
      </c>
      <c r="S12" s="406">
        <f>R12*(1+$P$28)^5</f>
        <v>39.748418618044006</v>
      </c>
      <c r="T12" s="406">
        <f>R12*(1+$P$28)^10</f>
        <v>39.748418618044006</v>
      </c>
      <c r="U12" s="245">
        <f>IF(P28=0, T12,P12*(1-(1+$P$28)^20)/(1-(1+$P$28))/20)</f>
        <v>39.748418618044006</v>
      </c>
    </row>
    <row r="13" spans="1:21" ht="24" customHeight="1">
      <c r="A13" s="1">
        <v>8</v>
      </c>
      <c r="B13" s="194" t="s">
        <v>168</v>
      </c>
      <c r="C13" s="195">
        <f>C12*C6</f>
        <v>2089.9321004282037</v>
      </c>
      <c r="D13" s="196" t="s">
        <v>20</v>
      </c>
      <c r="E13" s="197"/>
      <c r="F13" s="3"/>
      <c r="G13" s="198" t="s">
        <v>21</v>
      </c>
      <c r="H13" s="199">
        <f>J13*L13</f>
        <v>4</v>
      </c>
      <c r="I13" s="444" t="s">
        <v>194</v>
      </c>
      <c r="J13" s="72">
        <v>1</v>
      </c>
      <c r="K13" s="200" t="s">
        <v>197</v>
      </c>
      <c r="L13" s="445">
        <f>3+1</f>
        <v>4</v>
      </c>
      <c r="M13" s="446" t="s">
        <v>198</v>
      </c>
      <c r="N13" s="67"/>
      <c r="O13" s="186" t="s">
        <v>230</v>
      </c>
      <c r="P13" s="408">
        <f>H33+H34+H35</f>
        <v>22.052599999999998</v>
      </c>
      <c r="Q13" s="406">
        <f>P13*(1+$P$28)^7</f>
        <v>22.052599999999998</v>
      </c>
      <c r="R13" s="406">
        <f>Q13*(1+$P$28)^5</f>
        <v>22.052599999999998</v>
      </c>
      <c r="S13" s="406">
        <f>R13*(1+$P$28)^5</f>
        <v>22.052599999999998</v>
      </c>
      <c r="T13" s="406">
        <f>R13*(1+$P$28)^10</f>
        <v>22.052599999999998</v>
      </c>
      <c r="U13" s="245">
        <f>IF(P28=0,T13,P13*(1-(1+$P$28)^20)/(1-(1+$P$28))/20)</f>
        <v>22.052599999999998</v>
      </c>
    </row>
    <row r="14" spans="1:21" ht="19.5">
      <c r="A14" s="1">
        <v>9</v>
      </c>
      <c r="B14" s="584" t="s">
        <v>259</v>
      </c>
      <c r="C14" s="201">
        <f>'IRR (NG+CCS)'!G4</f>
        <v>3</v>
      </c>
      <c r="D14" s="202" t="s">
        <v>22</v>
      </c>
      <c r="E14" s="203" t="s">
        <v>16</v>
      </c>
      <c r="F14" s="3"/>
      <c r="G14" s="204" t="s">
        <v>23</v>
      </c>
      <c r="H14" s="205">
        <v>28</v>
      </c>
      <c r="I14" s="447" t="s">
        <v>194</v>
      </c>
      <c r="J14" s="73">
        <v>6</v>
      </c>
      <c r="K14" s="206" t="s">
        <v>197</v>
      </c>
      <c r="L14" s="74">
        <f>L13</f>
        <v>4</v>
      </c>
      <c r="M14" s="427" t="s">
        <v>198</v>
      </c>
      <c r="N14" s="67">
        <v>3</v>
      </c>
      <c r="O14" s="164" t="s">
        <v>272</v>
      </c>
      <c r="P14" s="403">
        <f>P15+P16</f>
        <v>113.523689475</v>
      </c>
      <c r="Q14" s="403">
        <f t="shared" ref="Q14:U14" si="5">Q15+Q16</f>
        <v>100.77986772000001</v>
      </c>
      <c r="R14" s="403">
        <f t="shared" si="5"/>
        <v>91.677137895000016</v>
      </c>
      <c r="S14" s="403">
        <f t="shared" si="5"/>
        <v>0</v>
      </c>
      <c r="T14" s="403">
        <f t="shared" si="5"/>
        <v>0</v>
      </c>
      <c r="U14" s="403">
        <f t="shared" si="5"/>
        <v>75.584900790000006</v>
      </c>
    </row>
    <row r="15" spans="1:21" ht="17.25" thickBot="1">
      <c r="B15" s="585"/>
      <c r="C15" s="207">
        <f>C14*D40*1000*9.47817*100/10^6</f>
        <v>153.83069910000003</v>
      </c>
      <c r="D15" s="208" t="s">
        <v>24</v>
      </c>
      <c r="E15" s="209"/>
      <c r="F15" s="3"/>
      <c r="G15" s="210" t="s">
        <v>25</v>
      </c>
      <c r="H15" s="211">
        <f>J15*L15</f>
        <v>16</v>
      </c>
      <c r="I15" s="448" t="s">
        <v>194</v>
      </c>
      <c r="J15" s="126">
        <v>4</v>
      </c>
      <c r="K15" s="212" t="s">
        <v>197</v>
      </c>
      <c r="L15" s="449">
        <f>L13</f>
        <v>4</v>
      </c>
      <c r="M15" s="450" t="s">
        <v>198</v>
      </c>
      <c r="N15" s="67"/>
      <c r="O15" s="213" t="s">
        <v>229</v>
      </c>
      <c r="P15" s="214">
        <f>-'IRR (NG+CCS)'!G52/'IRR (NG+CCS)'!$C$12</f>
        <v>86.215500000000006</v>
      </c>
      <c r="Q15" s="214">
        <f>-'IRR (NG+CCS)'!N52/'IRR (NG+CCS)'!$C$12</f>
        <v>86.215500000000006</v>
      </c>
      <c r="R15" s="214">
        <f>-'IRR (NG+CCS)'!S52/'IRR (NG+CCS)'!$C$12</f>
        <v>86.215500000000006</v>
      </c>
      <c r="S15" s="214">
        <f>-'IRR (NG+CCS)'!X52/'IRR (NG+CCS)'!$C$12</f>
        <v>0</v>
      </c>
      <c r="T15" s="214">
        <f>-'IRR (NG+CCS)'!Z52/'IRR (NG+CCS)'!$C$12</f>
        <v>0</v>
      </c>
      <c r="U15" s="214">
        <f>-'IRR (NG+CCS)'!AC52</f>
        <v>64.661625000000001</v>
      </c>
    </row>
    <row r="16" spans="1:21" ht="16.5" thickBot="1">
      <c r="A16" s="1">
        <v>10</v>
      </c>
      <c r="B16" s="154" t="s">
        <v>169</v>
      </c>
      <c r="C16" s="2"/>
      <c r="D16" s="95"/>
      <c r="E16" s="66"/>
      <c r="F16" s="3"/>
      <c r="G16" s="215" t="s">
        <v>26</v>
      </c>
      <c r="H16" s="216">
        <f>J16*L16</f>
        <v>6</v>
      </c>
      <c r="I16" s="451" t="s">
        <v>194</v>
      </c>
      <c r="J16" s="71">
        <v>6</v>
      </c>
      <c r="K16" s="217" t="s">
        <v>197</v>
      </c>
      <c r="L16" s="452">
        <v>1</v>
      </c>
      <c r="M16" s="436" t="s">
        <v>198</v>
      </c>
      <c r="N16" s="67"/>
      <c r="O16" s="218" t="s">
        <v>273</v>
      </c>
      <c r="P16" s="219">
        <f>-'IRR (NG+CCS)'!G42/'IRR (NG+CCS)'!$C$12</f>
        <v>27.308189474999999</v>
      </c>
      <c r="Q16" s="219">
        <f>-'IRR (NG+CCS)'!N42/'IRR (NG+CCS)'!$C$12</f>
        <v>14.564367720000007</v>
      </c>
      <c r="R16" s="219">
        <f>-'IRR (NG+CCS)'!S42/'IRR (NG+CCS)'!$C$12</f>
        <v>5.4616378950000062</v>
      </c>
      <c r="S16" s="219">
        <f>-'IRR (NG+CCS)'!X42/'IRR (NG+CCS)'!$C$12</f>
        <v>0</v>
      </c>
      <c r="T16" s="219">
        <f>-'IRR (NG+CCS)'!Z42/'IRR (NG+CCS)'!$C$12</f>
        <v>0</v>
      </c>
      <c r="U16" s="219">
        <f>-'IRR (NG+CCS)'!AC42</f>
        <v>10.923275790000003</v>
      </c>
    </row>
    <row r="17" spans="1:27" ht="23.45" customHeight="1" thickBot="1">
      <c r="B17" s="220" t="s">
        <v>254</v>
      </c>
      <c r="C17" s="221">
        <f>C12*D43</f>
        <v>1.8927818389544764</v>
      </c>
      <c r="D17" s="182" t="s">
        <v>27</v>
      </c>
      <c r="E17" s="222" t="s">
        <v>172</v>
      </c>
      <c r="F17" s="3"/>
      <c r="G17" s="453" t="s">
        <v>177</v>
      </c>
      <c r="H17" s="454">
        <f>SUM(H12:H16)</f>
        <v>56</v>
      </c>
      <c r="I17" s="451" t="s">
        <v>196</v>
      </c>
      <c r="J17" s="455"/>
      <c r="K17" s="456"/>
      <c r="L17" s="435"/>
      <c r="M17" s="436"/>
      <c r="N17" s="67">
        <v>4</v>
      </c>
      <c r="O17" s="223" t="s">
        <v>225</v>
      </c>
      <c r="P17" s="224">
        <f>-'IRR (NG+CCS)'!G62/'IRR (NG+CCS)'!$C$12</f>
        <v>3.2124206426977238</v>
      </c>
      <c r="Q17" s="224">
        <f>-'IRR (NG+CCS)'!N62/'IRR (NG+CCS)'!$C$12</f>
        <v>5.7611849936977224</v>
      </c>
      <c r="R17" s="224">
        <f>-'IRR (NG+CCS)'!S62/'IRR (NG+CCS)'!$C$12</f>
        <v>7.5817309586977224</v>
      </c>
      <c r="S17" s="224">
        <f>-'IRR (NG+CCS)'!X62/'IRR (NG+CCS)'!$C$12</f>
        <v>25.91715853769773</v>
      </c>
      <c r="T17" s="224">
        <f>-'IRR (NG+CCS)'!Z62/'IRR (NG+CCS)'!$C$12</f>
        <v>25.91715853769773</v>
      </c>
      <c r="U17" s="224">
        <f>-'IRR (NG+CCS)'!AC62</f>
        <v>10.800178379697725</v>
      </c>
    </row>
    <row r="18" spans="1:27" ht="16.149999999999999" customHeight="1" thickBot="1">
      <c r="B18" s="560" t="s">
        <v>255</v>
      </c>
      <c r="C18" s="225">
        <f>C17*C6*C20</f>
        <v>3974.8418618044002</v>
      </c>
      <c r="D18" s="226" t="s">
        <v>28</v>
      </c>
      <c r="E18" s="556" t="s">
        <v>173</v>
      </c>
      <c r="G18" s="67"/>
      <c r="H18" s="457"/>
      <c r="I18" s="67"/>
      <c r="J18" s="458"/>
      <c r="K18" s="67"/>
      <c r="L18" s="67"/>
      <c r="M18" s="67"/>
      <c r="N18" s="67">
        <v>5</v>
      </c>
      <c r="O18" s="227" t="s">
        <v>228</v>
      </c>
      <c r="P18" s="228">
        <f>'IRR (NG+CCS)'!G63/'IRR (NG+CCS)'!$C$12</f>
        <v>12.849682570790895</v>
      </c>
      <c r="Q18" s="228">
        <f>'IRR (NG+CCS)'!N63/'IRR (NG+CCS)'!$C$12</f>
        <v>23.044739974790886</v>
      </c>
      <c r="R18" s="228">
        <f>'IRR (NG+CCS)'!S63/'IRR (NG+CCS)'!$C$12</f>
        <v>30.32692383479089</v>
      </c>
      <c r="S18" s="228">
        <f>'IRR (NG+CCS)'!X63/'IRR (NG+CCS)'!$C$12</f>
        <v>103.66863415079091</v>
      </c>
      <c r="T18" s="228">
        <f>'IRR (NG+CCS)'!Z63/'IRR (NG+CCS)'!$C$12</f>
        <v>103.66863415079091</v>
      </c>
      <c r="U18" s="228">
        <f>'IRR (NG+CCS)'!AC63</f>
        <v>42.842839768790888</v>
      </c>
    </row>
    <row r="19" spans="1:27" ht="17.25" thickBot="1">
      <c r="B19" s="561"/>
      <c r="C19" s="229">
        <f>C18*C7</f>
        <v>1324947.2872681334</v>
      </c>
      <c r="D19" s="230" t="s">
        <v>29</v>
      </c>
      <c r="E19" s="557"/>
      <c r="G19" s="587" t="s">
        <v>295</v>
      </c>
      <c r="H19" s="588"/>
      <c r="I19" s="588"/>
      <c r="J19" s="588"/>
      <c r="K19" s="459" t="s">
        <v>30</v>
      </c>
      <c r="L19" s="543">
        <f>'IRR (NG+CCS)'!G14</f>
        <v>9.0070852237211563E-2</v>
      </c>
      <c r="M19" s="544"/>
      <c r="O19" s="492" t="s">
        <v>279</v>
      </c>
      <c r="P19" s="231">
        <f>P15*$P$29+P18</f>
        <v>38.714332570790894</v>
      </c>
      <c r="Q19" s="232">
        <f t="shared" ref="Q19:U19" si="6">Q15*$P$29+Q18</f>
        <v>48.909389974790884</v>
      </c>
      <c r="R19" s="232">
        <f t="shared" si="6"/>
        <v>56.191573834790887</v>
      </c>
      <c r="S19" s="232">
        <f>S15*$P$29+S18</f>
        <v>103.66863415079091</v>
      </c>
      <c r="T19" s="232">
        <f t="shared" si="6"/>
        <v>103.66863415079091</v>
      </c>
      <c r="U19" s="231">
        <f t="shared" si="6"/>
        <v>62.241327268790883</v>
      </c>
      <c r="W19" s="81"/>
      <c r="X19" s="81"/>
      <c r="Y19" s="81"/>
      <c r="Z19" s="81"/>
      <c r="AA19" s="81"/>
    </row>
    <row r="20" spans="1:27" ht="34.5" customHeight="1" thickTop="1">
      <c r="B20" s="233" t="s">
        <v>171</v>
      </c>
      <c r="C20" s="234">
        <v>0.7</v>
      </c>
      <c r="D20" s="558" t="s">
        <v>174</v>
      </c>
      <c r="E20" s="559"/>
      <c r="G20" s="553" t="s">
        <v>252</v>
      </c>
      <c r="H20" s="554"/>
      <c r="I20" s="554"/>
      <c r="J20" s="554"/>
      <c r="K20" s="554"/>
      <c r="L20" s="554"/>
      <c r="M20" s="555"/>
      <c r="N20" s="67">
        <v>6</v>
      </c>
      <c r="O20" s="223" t="s">
        <v>226</v>
      </c>
      <c r="P20" s="224">
        <f>'IRR (NG+CCS)'!C14</f>
        <v>341</v>
      </c>
      <c r="Q20" s="235">
        <f>P20*(1+$P$26)^7</f>
        <v>341</v>
      </c>
      <c r="R20" s="235">
        <f>Q20*(1+$P$26)^5</f>
        <v>341</v>
      </c>
      <c r="S20" s="235">
        <f>R20*(1+$P$26)^5</f>
        <v>341</v>
      </c>
      <c r="T20" s="235">
        <f>R20*(1+$P$26)^10</f>
        <v>341</v>
      </c>
      <c r="U20" s="236">
        <f>'IRR (NG+CCS)'!AC28</f>
        <v>341</v>
      </c>
      <c r="W20" s="81"/>
    </row>
    <row r="21" spans="1:27" ht="17.25" thickBot="1">
      <c r="A21" s="1">
        <v>11</v>
      </c>
      <c r="B21" s="237" t="s">
        <v>175</v>
      </c>
      <c r="C21" s="238"/>
      <c r="D21" s="239" t="s">
        <v>31</v>
      </c>
      <c r="E21" s="240"/>
      <c r="F21" s="1">
        <v>1</v>
      </c>
      <c r="G21" s="460" t="s">
        <v>201</v>
      </c>
      <c r="H21" s="241" t="s">
        <v>196</v>
      </c>
      <c r="I21" s="589" t="s">
        <v>199</v>
      </c>
      <c r="J21" s="590"/>
      <c r="K21" s="461"/>
      <c r="L21" s="541"/>
      <c r="M21" s="542"/>
      <c r="N21" s="67">
        <v>7</v>
      </c>
      <c r="O21" s="242" t="s">
        <v>274</v>
      </c>
      <c r="P21" s="243">
        <f>H41</f>
        <v>72</v>
      </c>
      <c r="Q21" s="244">
        <f>P21*(1+$P$28)^7</f>
        <v>72</v>
      </c>
      <c r="R21" s="244">
        <f>Q21*(1+$P$28)^5</f>
        <v>72</v>
      </c>
      <c r="S21" s="244">
        <f>R21*(1+$P$28)^5</f>
        <v>72</v>
      </c>
      <c r="T21" s="244">
        <f>R21*(1+$P$28)^10</f>
        <v>72</v>
      </c>
      <c r="U21" s="245">
        <f>IF(P28=0,T21,P21*(1-(1+$P$28)^20)/(1-(1+$P$28))/20)</f>
        <v>72</v>
      </c>
    </row>
    <row r="22" spans="1:27" ht="16.5">
      <c r="B22" s="246" t="s">
        <v>32</v>
      </c>
      <c r="C22" s="2"/>
      <c r="D22" s="95"/>
      <c r="E22" s="66"/>
      <c r="G22" s="247" t="s">
        <v>33</v>
      </c>
      <c r="H22" s="248">
        <f>SUM(H12,H13)</f>
        <v>6</v>
      </c>
      <c r="I22" s="591">
        <v>150</v>
      </c>
      <c r="J22" s="592"/>
      <c r="K22" s="461"/>
      <c r="L22" s="541"/>
      <c r="M22" s="542"/>
      <c r="N22" s="67">
        <v>8</v>
      </c>
      <c r="O22" s="249" t="s">
        <v>243</v>
      </c>
      <c r="P22" s="250">
        <f>SUM(P20:P21)</f>
        <v>413</v>
      </c>
      <c r="Q22" s="250">
        <f t="shared" ref="Q22:U22" si="7">SUM(Q20:Q21)</f>
        <v>413</v>
      </c>
      <c r="R22" s="250">
        <f t="shared" si="7"/>
        <v>413</v>
      </c>
      <c r="S22" s="250">
        <f t="shared" ref="S22" si="8">SUM(S20:S21)</f>
        <v>413</v>
      </c>
      <c r="T22" s="250">
        <f t="shared" si="7"/>
        <v>413</v>
      </c>
      <c r="U22" s="250">
        <f t="shared" si="7"/>
        <v>413</v>
      </c>
    </row>
    <row r="23" spans="1:27" ht="16.5">
      <c r="B23" s="251" t="s">
        <v>34</v>
      </c>
      <c r="C23" s="252">
        <v>700000</v>
      </c>
      <c r="D23" s="253"/>
      <c r="E23" s="254"/>
      <c r="G23" s="255" t="s">
        <v>35</v>
      </c>
      <c r="H23" s="256">
        <f>SUM(H15,H16)</f>
        <v>22</v>
      </c>
      <c r="I23" s="566">
        <v>100</v>
      </c>
      <c r="J23" s="567"/>
      <c r="K23" s="461"/>
      <c r="L23" s="541"/>
      <c r="M23" s="542"/>
      <c r="O23" s="135" t="s">
        <v>275</v>
      </c>
    </row>
    <row r="24" spans="1:27" ht="16.5">
      <c r="B24" s="257" t="s">
        <v>36</v>
      </c>
      <c r="C24" s="258">
        <f>C23*0.5</f>
        <v>350000</v>
      </c>
      <c r="D24" s="259"/>
      <c r="E24" s="260" t="s">
        <v>37</v>
      </c>
      <c r="G24" s="261" t="s">
        <v>38</v>
      </c>
      <c r="H24" s="262">
        <f>H14</f>
        <v>28</v>
      </c>
      <c r="I24" s="568">
        <v>100</v>
      </c>
      <c r="J24" s="569"/>
      <c r="K24" s="461"/>
      <c r="L24" s="541"/>
      <c r="M24" s="542"/>
      <c r="O24" s="145" t="s">
        <v>221</v>
      </c>
      <c r="P24" s="81"/>
      <c r="Q24" s="81"/>
      <c r="R24" s="81"/>
      <c r="S24" s="81"/>
      <c r="T24" s="81"/>
      <c r="U24" s="81"/>
    </row>
    <row r="25" spans="1:27" ht="16.5">
      <c r="B25" s="263" t="s">
        <v>244</v>
      </c>
      <c r="C25" s="264">
        <v>20000</v>
      </c>
      <c r="D25" s="265"/>
      <c r="E25" s="266" t="s">
        <v>39</v>
      </c>
      <c r="G25" s="267" t="s">
        <v>204</v>
      </c>
      <c r="H25" s="268">
        <f>(H22*I22+H23*I23+H24*I24)/(C5*C8/100)*1000</f>
        <v>5.8999999999999995</v>
      </c>
      <c r="I25" s="580" t="s">
        <v>40</v>
      </c>
      <c r="J25" s="581"/>
      <c r="K25" s="462"/>
      <c r="L25" s="578"/>
      <c r="M25" s="579"/>
      <c r="O25" s="269" t="s">
        <v>153</v>
      </c>
      <c r="P25" s="270">
        <f>'IRR (NG+CCS)'!C15</f>
        <v>0.03</v>
      </c>
      <c r="Q25" s="92" t="s">
        <v>41</v>
      </c>
      <c r="R25" s="271"/>
      <c r="S25" s="271"/>
      <c r="T25" s="271"/>
      <c r="U25" s="271"/>
    </row>
    <row r="26" spans="1:27">
      <c r="B26" s="272" t="s">
        <v>298</v>
      </c>
      <c r="C26" s="252">
        <v>120000</v>
      </c>
      <c r="D26" s="253"/>
      <c r="E26" s="254" t="s">
        <v>42</v>
      </c>
      <c r="F26" s="1">
        <v>2</v>
      </c>
      <c r="G26" s="273" t="s">
        <v>202</v>
      </c>
      <c r="H26" s="274">
        <f>C32*1000*M26/(C5*C8/100)</f>
        <v>18.47475</v>
      </c>
      <c r="I26" s="576" t="s">
        <v>40</v>
      </c>
      <c r="J26" s="577"/>
      <c r="K26" s="570" t="s">
        <v>43</v>
      </c>
      <c r="L26" s="571"/>
      <c r="M26" s="275">
        <v>1.4999999999999999E-2</v>
      </c>
      <c r="O26" s="276" t="s">
        <v>223</v>
      </c>
      <c r="P26" s="277">
        <f>'IRR (NG+CCS)'!C16</f>
        <v>0</v>
      </c>
      <c r="Q26" s="93" t="s">
        <v>41</v>
      </c>
      <c r="R26" s="278"/>
      <c r="S26" s="278"/>
      <c r="T26" s="278"/>
      <c r="U26" s="278"/>
    </row>
    <row r="27" spans="1:27">
      <c r="B27" s="279" t="s">
        <v>176</v>
      </c>
      <c r="C27" s="280">
        <f>C24+C25+C26</f>
        <v>490000</v>
      </c>
      <c r="D27" s="281"/>
      <c r="E27" s="282" t="s">
        <v>44</v>
      </c>
      <c r="F27" s="1">
        <v>3</v>
      </c>
      <c r="G27" s="273" t="s">
        <v>267</v>
      </c>
      <c r="H27" s="274">
        <f>H25*0.8+H26*0.2</f>
        <v>8.414950000000001</v>
      </c>
      <c r="I27" s="576" t="s">
        <v>40</v>
      </c>
      <c r="J27" s="577"/>
      <c r="K27" s="570" t="s">
        <v>45</v>
      </c>
      <c r="L27" s="572"/>
      <c r="M27" s="573"/>
      <c r="O27" s="276" t="s">
        <v>222</v>
      </c>
      <c r="P27" s="277">
        <f>'IRR (NG+CCS)'!C17</f>
        <v>0</v>
      </c>
      <c r="Q27" s="93" t="s">
        <v>41</v>
      </c>
      <c r="R27" s="278"/>
      <c r="S27" s="278"/>
      <c r="T27" s="278"/>
      <c r="U27" s="278"/>
    </row>
    <row r="28" spans="1:27">
      <c r="B28" s="283" t="s">
        <v>46</v>
      </c>
      <c r="C28" s="284">
        <f>(C23+C27)</f>
        <v>1190000</v>
      </c>
      <c r="D28" s="281"/>
      <c r="E28" s="282" t="s">
        <v>47</v>
      </c>
      <c r="F28" s="1">
        <v>4</v>
      </c>
      <c r="G28" s="273" t="s">
        <v>268</v>
      </c>
      <c r="H28" s="274">
        <f>C24*M28/(C5*C8/100)*1000</f>
        <v>3.5</v>
      </c>
      <c r="I28" s="576" t="s">
        <v>40</v>
      </c>
      <c r="J28" s="577"/>
      <c r="K28" s="582" t="s">
        <v>48</v>
      </c>
      <c r="L28" s="583"/>
      <c r="M28" s="285">
        <v>0.01</v>
      </c>
      <c r="O28" s="276" t="s">
        <v>224</v>
      </c>
      <c r="P28" s="277">
        <f>'IRR (NG+CCS)'!C18</f>
        <v>0</v>
      </c>
      <c r="Q28" s="93" t="s">
        <v>41</v>
      </c>
      <c r="R28" s="278"/>
      <c r="S28" s="278"/>
      <c r="T28" s="278"/>
      <c r="U28" s="278"/>
    </row>
    <row r="29" spans="1:27" ht="18.600000000000001" customHeight="1" thickBot="1">
      <c r="B29" s="286" t="s">
        <v>262</v>
      </c>
      <c r="C29" s="287">
        <f>C28*E29</f>
        <v>178500</v>
      </c>
      <c r="D29" s="288" t="s">
        <v>261</v>
      </c>
      <c r="E29" s="289">
        <f>'IRR (NG+CCS)'!G6</f>
        <v>0.15</v>
      </c>
      <c r="F29" s="1">
        <v>5</v>
      </c>
      <c r="G29" s="290" t="s">
        <v>203</v>
      </c>
      <c r="H29" s="291">
        <f>C32*1000*M29/(C5*C8/100)</f>
        <v>6.1582499999999998</v>
      </c>
      <c r="I29" s="593" t="s">
        <v>40</v>
      </c>
      <c r="J29" s="594"/>
      <c r="K29" s="574" t="s">
        <v>43</v>
      </c>
      <c r="L29" s="575"/>
      <c r="M29" s="275">
        <v>5.0000000000000001E-3</v>
      </c>
      <c r="O29" s="292" t="s">
        <v>276</v>
      </c>
      <c r="P29" s="293">
        <f>'IRR (NG+CCS)'!C19</f>
        <v>0.3</v>
      </c>
      <c r="Q29" s="94" t="s">
        <v>41</v>
      </c>
      <c r="R29" s="294"/>
      <c r="S29" s="294"/>
      <c r="T29" s="294"/>
      <c r="U29" s="294"/>
    </row>
    <row r="30" spans="1:27" ht="19.149999999999999" customHeight="1" thickBot="1">
      <c r="B30" s="295" t="s">
        <v>177</v>
      </c>
      <c r="C30" s="284">
        <f>C28+C29</f>
        <v>1368500</v>
      </c>
      <c r="D30" s="281"/>
      <c r="E30" s="282" t="s">
        <v>49</v>
      </c>
      <c r="F30" s="124"/>
      <c r="G30" s="296" t="s">
        <v>177</v>
      </c>
      <c r="H30" s="297">
        <f>SUM(H25:H29)</f>
        <v>42.447949999999999</v>
      </c>
      <c r="I30" s="528" t="s">
        <v>40</v>
      </c>
      <c r="J30" s="529"/>
      <c r="K30" s="463"/>
      <c r="L30" s="464"/>
      <c r="M30" s="465"/>
      <c r="O30" s="298" t="s">
        <v>151</v>
      </c>
      <c r="P30" s="299">
        <f>'IRR (NG+CCS)'!C20</f>
        <v>0.2</v>
      </c>
      <c r="Q30" s="105" t="s">
        <v>41</v>
      </c>
      <c r="R30" s="300"/>
      <c r="S30" s="300"/>
      <c r="T30" s="300"/>
      <c r="U30" s="300"/>
    </row>
    <row r="31" spans="1:27" ht="22.9" customHeight="1" thickTop="1" thickBot="1">
      <c r="B31" s="286" t="s">
        <v>263</v>
      </c>
      <c r="C31" s="490">
        <f>-C30*E31</f>
        <v>-136850</v>
      </c>
      <c r="D31" s="288" t="s">
        <v>264</v>
      </c>
      <c r="E31" s="301">
        <v>0.1</v>
      </c>
      <c r="G31" s="530" t="s">
        <v>200</v>
      </c>
      <c r="H31" s="531"/>
      <c r="I31" s="531"/>
      <c r="J31" s="531"/>
      <c r="K31" s="531"/>
      <c r="L31" s="531"/>
      <c r="M31" s="532"/>
      <c r="P31" s="3"/>
      <c r="R31" s="3"/>
      <c r="S31" s="3"/>
    </row>
    <row r="32" spans="1:27" ht="20.45" customHeight="1" thickBot="1">
      <c r="B32" s="302" t="s">
        <v>180</v>
      </c>
      <c r="C32" s="303">
        <f>C30+C31</f>
        <v>1231650</v>
      </c>
      <c r="D32" s="304"/>
      <c r="E32" s="305"/>
      <c r="F32" s="67">
        <v>1</v>
      </c>
      <c r="G32" s="306" t="s">
        <v>260</v>
      </c>
      <c r="H32" s="466">
        <f>C15*C12</f>
        <v>107.16523869346734</v>
      </c>
      <c r="I32" s="517" t="s">
        <v>40</v>
      </c>
      <c r="J32" s="518"/>
      <c r="K32" s="307"/>
      <c r="L32" s="308"/>
      <c r="M32" s="309"/>
      <c r="O32" s="564" t="s">
        <v>211</v>
      </c>
      <c r="P32" s="565"/>
      <c r="Q32" s="3"/>
      <c r="R32" s="75"/>
      <c r="S32" s="310" t="s">
        <v>218</v>
      </c>
    </row>
    <row r="33" spans="2:19" ht="29.25" thickBot="1">
      <c r="B33" s="311" t="s">
        <v>187</v>
      </c>
      <c r="C33" s="312">
        <f>C32*E33</f>
        <v>1231650</v>
      </c>
      <c r="D33" s="313" t="s">
        <v>190</v>
      </c>
      <c r="E33" s="314">
        <v>1</v>
      </c>
      <c r="F33" s="67">
        <v>2</v>
      </c>
      <c r="G33" s="306" t="s">
        <v>191</v>
      </c>
      <c r="H33" s="467">
        <f>K33*H7</f>
        <v>9.5200000000000014</v>
      </c>
      <c r="I33" s="515" t="s">
        <v>40</v>
      </c>
      <c r="J33" s="516"/>
      <c r="K33" s="523">
        <v>7.0000000000000007E-2</v>
      </c>
      <c r="L33" s="524"/>
      <c r="M33" s="468" t="s">
        <v>50</v>
      </c>
      <c r="P33" s="80" t="s">
        <v>40</v>
      </c>
      <c r="R33" s="76"/>
      <c r="S33" s="310" t="s">
        <v>219</v>
      </c>
    </row>
    <row r="34" spans="2:19" ht="19.899999999999999" customHeight="1">
      <c r="B34" s="315" t="s">
        <v>51</v>
      </c>
      <c r="C34" s="316">
        <f>'IRR (NG+CCS)'!C10</f>
        <v>61582.5</v>
      </c>
      <c r="D34" s="489" t="s">
        <v>188</v>
      </c>
      <c r="E34" s="317">
        <f>'IRR (NG+CCS)'!C11</f>
        <v>0.05</v>
      </c>
      <c r="F34" s="67">
        <v>3</v>
      </c>
      <c r="G34" s="306" t="s">
        <v>192</v>
      </c>
      <c r="H34" s="469">
        <f>K34*H9</f>
        <v>6.4325999999999999</v>
      </c>
      <c r="I34" s="515" t="s">
        <v>40</v>
      </c>
      <c r="J34" s="516"/>
      <c r="K34" s="525">
        <v>0.6</v>
      </c>
      <c r="L34" s="524"/>
      <c r="M34" s="468" t="s">
        <v>52</v>
      </c>
      <c r="N34" s="1">
        <v>1</v>
      </c>
      <c r="O34" s="318" t="s">
        <v>210</v>
      </c>
      <c r="P34" s="243">
        <f>P11</f>
        <v>107.16523869346734</v>
      </c>
      <c r="R34" s="77"/>
      <c r="S34" s="320" t="s">
        <v>220</v>
      </c>
    </row>
    <row r="35" spans="2:19" ht="20.45" customHeight="1" thickBot="1">
      <c r="B35" s="321" t="s">
        <v>189</v>
      </c>
      <c r="C35" s="322">
        <f>SUM(C33:C34)</f>
        <v>1293232.5</v>
      </c>
      <c r="D35" s="488"/>
      <c r="E35" s="305"/>
      <c r="F35" s="67">
        <v>4</v>
      </c>
      <c r="G35" s="306" t="s">
        <v>269</v>
      </c>
      <c r="H35" s="470">
        <f>H10</f>
        <v>6.1</v>
      </c>
      <c r="I35" s="515" t="s">
        <v>40</v>
      </c>
      <c r="J35" s="516"/>
      <c r="K35" s="323"/>
      <c r="L35" s="471"/>
      <c r="M35" s="472"/>
      <c r="N35" s="1">
        <v>2</v>
      </c>
      <c r="O35" s="318" t="s">
        <v>214</v>
      </c>
      <c r="P35" s="243">
        <f>P20-P11-P12</f>
        <v>194.08634268848863</v>
      </c>
    </row>
    <row r="36" spans="2:19" ht="31.5" customHeight="1" thickBot="1">
      <c r="B36" s="324" t="s">
        <v>181</v>
      </c>
      <c r="C36" s="325">
        <f>'IRR (NG+CCS)'!G10</f>
        <v>15</v>
      </c>
      <c r="D36" s="326" t="s">
        <v>182</v>
      </c>
      <c r="E36" s="327"/>
      <c r="F36" s="67">
        <v>5</v>
      </c>
      <c r="G36" s="328" t="s">
        <v>270</v>
      </c>
      <c r="H36" s="473">
        <f>K36*C19/(C5*C8/100)</f>
        <v>39.748418618044006</v>
      </c>
      <c r="I36" s="517" t="s">
        <v>40</v>
      </c>
      <c r="J36" s="518"/>
      <c r="K36" s="526">
        <v>30</v>
      </c>
      <c r="L36" s="527"/>
      <c r="M36" s="474" t="s">
        <v>53</v>
      </c>
      <c r="N36" s="1">
        <v>3</v>
      </c>
      <c r="O36" s="493" t="s">
        <v>277</v>
      </c>
      <c r="P36" s="243">
        <f>P12</f>
        <v>39.748418618044006</v>
      </c>
    </row>
    <row r="37" spans="2:19" ht="18.600000000000001" customHeight="1" thickBot="1">
      <c r="G37" s="329" t="s">
        <v>177</v>
      </c>
      <c r="H37" s="475">
        <f>SUM(H32:H36)</f>
        <v>168.96625731151136</v>
      </c>
      <c r="I37" s="519" t="s">
        <v>40</v>
      </c>
      <c r="J37" s="520"/>
      <c r="K37" s="476"/>
      <c r="L37" s="477"/>
      <c r="M37" s="478"/>
      <c r="O37" s="494" t="s">
        <v>209</v>
      </c>
      <c r="P37" s="497">
        <f>SUM(P34:P36)</f>
        <v>341</v>
      </c>
    </row>
    <row r="38" spans="2:19" ht="34.5" customHeight="1" thickBot="1">
      <c r="B38" s="538" t="s">
        <v>247</v>
      </c>
      <c r="C38" s="586"/>
      <c r="D38" s="512"/>
      <c r="E38" s="3"/>
      <c r="F38" s="3"/>
      <c r="G38" s="330" t="s">
        <v>54</v>
      </c>
      <c r="H38" s="331">
        <f>H37+H30</f>
        <v>211.41420731151135</v>
      </c>
      <c r="I38" s="595" t="s">
        <v>40</v>
      </c>
      <c r="J38" s="596"/>
      <c r="K38" s="479"/>
      <c r="L38" s="480"/>
      <c r="M38" s="481"/>
      <c r="N38" s="1">
        <v>4</v>
      </c>
      <c r="O38" s="495" t="s">
        <v>212</v>
      </c>
      <c r="P38" s="243">
        <f>P21</f>
        <v>72</v>
      </c>
    </row>
    <row r="39" spans="2:19" ht="18.600000000000001" customHeight="1" thickBot="1">
      <c r="B39" s="332" t="s">
        <v>183</v>
      </c>
      <c r="C39" s="333" t="s">
        <v>256</v>
      </c>
      <c r="D39" s="334"/>
      <c r="E39" s="3"/>
      <c r="F39" s="3"/>
      <c r="G39" s="440"/>
      <c r="H39" s="440"/>
      <c r="I39" s="440"/>
      <c r="J39" s="440"/>
      <c r="K39" s="440"/>
      <c r="L39" s="440"/>
      <c r="M39" s="440"/>
      <c r="O39" s="496" t="s">
        <v>235</v>
      </c>
      <c r="P39" s="498">
        <f>P37+P38</f>
        <v>413</v>
      </c>
    </row>
    <row r="40" spans="2:19" ht="18.600000000000001" customHeight="1">
      <c r="B40" s="335" t="s">
        <v>248</v>
      </c>
      <c r="C40" s="336" t="s">
        <v>55</v>
      </c>
      <c r="D40" s="337">
        <v>54.1</v>
      </c>
      <c r="E40" s="1" t="s">
        <v>186</v>
      </c>
      <c r="F40" s="3"/>
      <c r="G40" s="338" t="s">
        <v>205</v>
      </c>
      <c r="H40" s="482">
        <f>'IRR (NG+CCS)'!C14</f>
        <v>341</v>
      </c>
      <c r="I40" s="521" t="s">
        <v>40</v>
      </c>
      <c r="J40" s="522"/>
      <c r="K40" s="440"/>
      <c r="L40" s="440"/>
      <c r="M40" s="440"/>
      <c r="O40" s="67"/>
      <c r="P40" s="80" t="s">
        <v>215</v>
      </c>
      <c r="R40" s="1" t="s">
        <v>216</v>
      </c>
    </row>
    <row r="41" spans="2:19" ht="18.600000000000001" customHeight="1" thickBot="1">
      <c r="B41" s="335" t="s">
        <v>249</v>
      </c>
      <c r="C41" s="336" t="s">
        <v>55</v>
      </c>
      <c r="D41" s="337">
        <v>48.8</v>
      </c>
      <c r="E41" s="111">
        <f>D41/D40</f>
        <v>0.90203327171903869</v>
      </c>
      <c r="F41" s="3"/>
      <c r="G41" s="483" t="s">
        <v>206</v>
      </c>
      <c r="H41" s="484">
        <v>72</v>
      </c>
      <c r="I41" s="513" t="s">
        <v>40</v>
      </c>
      <c r="J41" s="514"/>
      <c r="K41" s="485" t="s">
        <v>207</v>
      </c>
      <c r="L41" s="440"/>
      <c r="M41" s="440"/>
      <c r="N41" s="1">
        <v>5</v>
      </c>
      <c r="O41" s="493" t="s">
        <v>213</v>
      </c>
      <c r="P41" s="319">
        <v>0</v>
      </c>
      <c r="Q41" s="339"/>
      <c r="R41" s="125">
        <v>107</v>
      </c>
      <c r="S41" s="145" t="s">
        <v>217</v>
      </c>
    </row>
    <row r="42" spans="2:19" ht="18.600000000000001" customHeight="1" thickBot="1">
      <c r="B42" s="340" t="s">
        <v>184</v>
      </c>
      <c r="C42" s="341" t="s">
        <v>56</v>
      </c>
      <c r="D42" s="342">
        <v>16.8</v>
      </c>
      <c r="E42" s="78"/>
      <c r="F42" s="3"/>
      <c r="G42" s="486" t="s">
        <v>235</v>
      </c>
      <c r="H42" s="487">
        <f>SUM(H40:H41)</f>
        <v>413</v>
      </c>
      <c r="I42" s="511" t="s">
        <v>40</v>
      </c>
      <c r="J42" s="512"/>
      <c r="K42" s="440"/>
      <c r="L42" s="440"/>
      <c r="M42" s="440"/>
      <c r="O42" s="494" t="s">
        <v>278</v>
      </c>
      <c r="P42" s="343">
        <f>P39*R41+P41</f>
        <v>44191</v>
      </c>
    </row>
    <row r="43" spans="2:19" ht="18.600000000000001" customHeight="1">
      <c r="B43" s="344" t="s">
        <v>185</v>
      </c>
      <c r="C43" s="345" t="s">
        <v>57</v>
      </c>
      <c r="D43" s="346">
        <v>2.7170000000000001</v>
      </c>
      <c r="E43" s="78"/>
      <c r="F43" s="3"/>
      <c r="G43" s="3"/>
      <c r="H43" s="3"/>
      <c r="I43" s="3"/>
      <c r="J43" s="3"/>
      <c r="K43" s="3"/>
      <c r="L43" s="3"/>
      <c r="M43" s="3"/>
    </row>
    <row r="44" spans="2:19" ht="18.600000000000001" customHeight="1">
      <c r="B44" s="185"/>
      <c r="C44" s="347"/>
      <c r="D44" s="348"/>
      <c r="E44" s="78"/>
      <c r="G44" s="3"/>
      <c r="H44" s="3"/>
      <c r="I44" s="3"/>
      <c r="J44" s="3"/>
      <c r="K44" s="3"/>
      <c r="L44" s="3"/>
      <c r="M44" s="3"/>
    </row>
    <row r="45" spans="2:19" ht="16.149999999999999" customHeight="1">
      <c r="D45" s="3"/>
      <c r="G45" s="3"/>
      <c r="H45" s="3"/>
      <c r="I45" s="3"/>
      <c r="J45" s="3"/>
      <c r="K45" s="3"/>
      <c r="L45" s="3"/>
      <c r="M45" s="3"/>
    </row>
    <row r="46" spans="2:19" ht="21" customHeight="1">
      <c r="G46" s="3"/>
      <c r="H46" s="3"/>
      <c r="I46" s="3"/>
      <c r="J46" s="3"/>
      <c r="K46" s="3"/>
      <c r="L46" s="3"/>
      <c r="M46" s="3"/>
    </row>
    <row r="47" spans="2:19" ht="21" customHeight="1">
      <c r="G47" s="3"/>
      <c r="H47" s="3"/>
      <c r="I47" s="3"/>
      <c r="J47" s="3"/>
      <c r="K47" s="3"/>
      <c r="L47" s="3"/>
      <c r="M47" s="3"/>
    </row>
    <row r="48" spans="2:19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3:14" ht="21" customHeight="1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</row>
    <row r="50" spans="3:14"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</row>
    <row r="51" spans="3:14" ht="24" customHeight="1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3:14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</row>
    <row r="53" spans="3:14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</row>
    <row r="54" spans="3:14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3:14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3:14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3:14"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3:14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</row>
    <row r="59" spans="3:14" ht="21" customHeight="1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</row>
    <row r="60" spans="3:14" ht="20.45" customHeight="1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3:14" ht="24" customHeight="1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3:14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3:14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3:14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</row>
    <row r="65" spans="1:14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</row>
    <row r="66" spans="1:14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</row>
    <row r="67" spans="1:1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4">
      <c r="A76" s="3"/>
      <c r="B76" s="3"/>
      <c r="C76" s="3"/>
      <c r="D76" s="3"/>
      <c r="E76" s="3"/>
      <c r="F76" s="3"/>
      <c r="G76" s="3"/>
      <c r="H76" s="185"/>
      <c r="I76" s="3"/>
      <c r="J76" s="3"/>
    </row>
    <row r="77" spans="1:14">
      <c r="E77" s="3"/>
      <c r="F77" s="3"/>
      <c r="G77" s="3"/>
      <c r="H77" s="185"/>
      <c r="I77" s="3"/>
      <c r="J77" s="3"/>
    </row>
  </sheetData>
  <mergeCells count="50">
    <mergeCell ref="B14:B15"/>
    <mergeCell ref="B38:D38"/>
    <mergeCell ref="G19:J19"/>
    <mergeCell ref="I21:J21"/>
    <mergeCell ref="I22:J22"/>
    <mergeCell ref="I29:J29"/>
    <mergeCell ref="I28:J28"/>
    <mergeCell ref="I38:J38"/>
    <mergeCell ref="O32:P32"/>
    <mergeCell ref="I23:J23"/>
    <mergeCell ref="I24:J24"/>
    <mergeCell ref="K26:L26"/>
    <mergeCell ref="K27:M27"/>
    <mergeCell ref="K29:L29"/>
    <mergeCell ref="I26:J26"/>
    <mergeCell ref="I27:J27"/>
    <mergeCell ref="L25:M25"/>
    <mergeCell ref="I25:J25"/>
    <mergeCell ref="L24:M24"/>
    <mergeCell ref="I32:J32"/>
    <mergeCell ref="K28:L28"/>
    <mergeCell ref="R1:U1"/>
    <mergeCell ref="J2:M2"/>
    <mergeCell ref="G4:M4"/>
    <mergeCell ref="L22:M22"/>
    <mergeCell ref="L23:M23"/>
    <mergeCell ref="L19:M19"/>
    <mergeCell ref="L21:M21"/>
    <mergeCell ref="O2:U2"/>
    <mergeCell ref="U4:U5"/>
    <mergeCell ref="B2:G2"/>
    <mergeCell ref="G20:M20"/>
    <mergeCell ref="B4:E4"/>
    <mergeCell ref="E18:E19"/>
    <mergeCell ref="D20:E20"/>
    <mergeCell ref="B18:B19"/>
    <mergeCell ref="B11:B12"/>
    <mergeCell ref="K33:L33"/>
    <mergeCell ref="K34:L34"/>
    <mergeCell ref="K36:L36"/>
    <mergeCell ref="I30:J30"/>
    <mergeCell ref="I33:J33"/>
    <mergeCell ref="G31:M31"/>
    <mergeCell ref="I42:J42"/>
    <mergeCell ref="I41:J41"/>
    <mergeCell ref="I34:J34"/>
    <mergeCell ref="I35:J35"/>
    <mergeCell ref="I36:J36"/>
    <mergeCell ref="I37:J37"/>
    <mergeCell ref="I40:J40"/>
  </mergeCells>
  <phoneticPr fontId="195"/>
  <pageMargins left="0.70866141732283472" right="0.70866141732283472" top="0.74803149606299213" bottom="0.74803149606299213" header="0.31496062992125984" footer="0.31496062992125984"/>
  <pageSetup paperSize="9" scale="39" orientation="landscape" r:id="rId1"/>
  <headerFooter>
    <oddHeader>&amp;F</oddHeader>
  </headerFooter>
  <ignoredErrors>
    <ignoredError sqref="C3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26E85-DDA4-5A4E-818C-7084DE75BB13}">
  <sheetPr>
    <tabColor rgb="FF00B0F0"/>
    <pageSetUpPr fitToPage="1"/>
  </sheetPr>
  <dimension ref="B1:AD76"/>
  <sheetViews>
    <sheetView view="pageBreakPreview" topLeftCell="A2" zoomScale="70" zoomScaleNormal="85" zoomScaleSheetLayoutView="70" workbookViewId="0">
      <selection activeCell="F16" sqref="F16"/>
    </sheetView>
  </sheetViews>
  <sheetFormatPr defaultColWidth="8.7109375" defaultRowHeight="14.25" outlineLevelRow="1" outlineLevelCol="1"/>
  <cols>
    <col min="1" max="1" width="8.7109375" style="3"/>
    <col min="2" max="2" width="39.85546875" style="3" customWidth="1"/>
    <col min="3" max="3" width="15.42578125" style="3" customWidth="1"/>
    <col min="4" max="4" width="16.140625" style="3" customWidth="1"/>
    <col min="5" max="5" width="12.28515625" style="3" bestFit="1" customWidth="1"/>
    <col min="6" max="6" width="29.7109375" style="3" customWidth="1"/>
    <col min="7" max="7" width="14.28515625" style="3" bestFit="1" customWidth="1"/>
    <col min="8" max="8" width="18" style="3" customWidth="1"/>
    <col min="9" max="9" width="14.28515625" style="3" bestFit="1" customWidth="1"/>
    <col min="10" max="10" width="14.28515625" style="3" customWidth="1"/>
    <col min="11" max="11" width="22.7109375" style="3" bestFit="1" customWidth="1"/>
    <col min="12" max="21" width="14.28515625" style="3" bestFit="1" customWidth="1"/>
    <col min="22" max="26" width="14.140625" style="3" bestFit="1" customWidth="1"/>
    <col min="27" max="27" width="22" style="3" bestFit="1" customWidth="1" outlineLevel="1"/>
    <col min="28" max="28" width="12.7109375" style="3" customWidth="1" outlineLevel="1"/>
    <col min="29" max="30" width="8.7109375" style="3" customWidth="1" outlineLevel="1"/>
    <col min="31" max="16384" width="8.7109375" style="3"/>
  </cols>
  <sheetData>
    <row r="1" spans="2:26" ht="41.45" customHeight="1">
      <c r="B1" s="79"/>
      <c r="X1" s="597"/>
      <c r="Y1" s="597"/>
      <c r="Z1" s="597"/>
    </row>
    <row r="2" spans="2:26" ht="30" customHeight="1">
      <c r="B2" s="349" t="s">
        <v>179</v>
      </c>
      <c r="C2" s="144" t="s">
        <v>125</v>
      </c>
      <c r="D2" s="597" t="str">
        <f>'NH3 Cost (NG)'!J2</f>
        <v>North America</v>
      </c>
      <c r="E2" s="598"/>
    </row>
    <row r="3" spans="2:26" ht="21" customHeight="1">
      <c r="B3" s="185" t="s">
        <v>162</v>
      </c>
    </row>
    <row r="4" spans="2:26" ht="19.149999999999999" customHeight="1">
      <c r="B4" s="350" t="s">
        <v>253</v>
      </c>
      <c r="C4" s="118">
        <f>'NH3 Cost (NG)'!C33</f>
        <v>1231650</v>
      </c>
      <c r="D4" s="351" t="s">
        <v>58</v>
      </c>
      <c r="F4" s="352" t="s">
        <v>131</v>
      </c>
      <c r="G4" s="353">
        <v>3</v>
      </c>
      <c r="H4" s="354" t="s">
        <v>59</v>
      </c>
      <c r="I4" s="185"/>
      <c r="J4" s="355"/>
      <c r="K4" s="356" t="s">
        <v>128</v>
      </c>
    </row>
    <row r="5" spans="2:26" ht="19.149999999999999" customHeight="1">
      <c r="B5" s="499" t="s">
        <v>280</v>
      </c>
      <c r="C5" s="357">
        <f>'NH3 Cost (NG)'!C23+'NH3 Cost (NG)'!C24</f>
        <v>1050000</v>
      </c>
      <c r="D5" s="358"/>
      <c r="F5" s="359" t="s">
        <v>288</v>
      </c>
      <c r="G5" s="360">
        <f>'NH3 Cost (NG)'!E29</f>
        <v>0.15</v>
      </c>
      <c r="H5" s="361" t="s">
        <v>142</v>
      </c>
      <c r="I5" s="185"/>
      <c r="J5" s="362"/>
      <c r="K5" s="356" t="s">
        <v>129</v>
      </c>
    </row>
    <row r="6" spans="2:26" ht="19.149999999999999" customHeight="1">
      <c r="B6" s="500" t="s">
        <v>136</v>
      </c>
      <c r="C6" s="364">
        <f>'NH3 Cost (NG)'!C26</f>
        <v>120000</v>
      </c>
      <c r="D6" s="365" t="s">
        <v>60</v>
      </c>
      <c r="F6" s="366" t="s">
        <v>262</v>
      </c>
      <c r="G6" s="367">
        <v>0.15</v>
      </c>
      <c r="H6" s="363" t="s">
        <v>290</v>
      </c>
      <c r="I6" s="185"/>
      <c r="J6" s="368"/>
      <c r="K6" s="356" t="s">
        <v>127</v>
      </c>
    </row>
    <row r="7" spans="2:26" ht="19.149999999999999" customHeight="1">
      <c r="B7" s="501" t="s">
        <v>137</v>
      </c>
      <c r="C7" s="369">
        <f>('NH3 Cost (NG)'!C25)</f>
        <v>20000</v>
      </c>
      <c r="D7" s="184" t="s">
        <v>60</v>
      </c>
      <c r="F7" s="510" t="s">
        <v>291</v>
      </c>
      <c r="G7" s="370">
        <f>'NH3 Cost (NG)'!E33</f>
        <v>1</v>
      </c>
      <c r="H7" s="371"/>
      <c r="I7" s="185"/>
      <c r="J7" s="372"/>
      <c r="K7" s="356" t="s">
        <v>130</v>
      </c>
    </row>
    <row r="8" spans="2:26" ht="19.149999999999999" customHeight="1">
      <c r="B8" s="502" t="s">
        <v>281</v>
      </c>
      <c r="C8" s="373">
        <f>'NH3 Cost (NG)'!C29</f>
        <v>178500</v>
      </c>
      <c r="D8" s="374" t="s">
        <v>139</v>
      </c>
      <c r="E8" s="45"/>
      <c r="F8" s="363" t="s">
        <v>144</v>
      </c>
      <c r="G8" s="375">
        <v>20</v>
      </c>
      <c r="H8" s="363" t="s">
        <v>143</v>
      </c>
      <c r="I8" s="185"/>
      <c r="J8" s="185"/>
      <c r="K8" s="185"/>
    </row>
    <row r="9" spans="2:26" ht="19.149999999999999" customHeight="1">
      <c r="B9" s="390" t="s">
        <v>282</v>
      </c>
      <c r="C9" s="506">
        <f>'NH3 Cost (NG)'!C31</f>
        <v>-136850</v>
      </c>
      <c r="D9" s="376" t="s">
        <v>140</v>
      </c>
      <c r="E9" s="117"/>
      <c r="F9" s="363" t="s">
        <v>146</v>
      </c>
      <c r="G9" s="375">
        <v>15</v>
      </c>
      <c r="H9" s="363" t="s">
        <v>143</v>
      </c>
      <c r="I9" s="185"/>
      <c r="J9" s="185"/>
      <c r="K9" s="185"/>
    </row>
    <row r="10" spans="2:26" ht="19.149999999999999" customHeight="1">
      <c r="B10" s="599" t="s">
        <v>51</v>
      </c>
      <c r="C10" s="377">
        <f>C4*C11</f>
        <v>61582.5</v>
      </c>
      <c r="D10" s="378" t="s">
        <v>58</v>
      </c>
      <c r="E10" s="39"/>
      <c r="F10" s="363" t="s">
        <v>147</v>
      </c>
      <c r="G10" s="375">
        <v>15</v>
      </c>
      <c r="H10" s="363" t="s">
        <v>143</v>
      </c>
      <c r="I10" s="185"/>
      <c r="J10" s="185"/>
      <c r="K10" s="185"/>
    </row>
    <row r="11" spans="2:26" ht="19.149999999999999" customHeight="1">
      <c r="B11" s="600"/>
      <c r="C11" s="379">
        <v>0.05</v>
      </c>
      <c r="D11" s="380" t="s">
        <v>141</v>
      </c>
      <c r="F11" s="363" t="s">
        <v>289</v>
      </c>
      <c r="G11" s="381">
        <v>0.1</v>
      </c>
      <c r="H11" s="382">
        <v>0.1</v>
      </c>
      <c r="I11" s="185"/>
      <c r="J11" s="185"/>
      <c r="K11" s="185"/>
    </row>
    <row r="12" spans="2:26" ht="19.149999999999999" customHeight="1">
      <c r="B12" s="503" t="s">
        <v>134</v>
      </c>
      <c r="C12" s="383">
        <f>'NH3 Cost (NG)'!C5/1000</f>
        <v>1000</v>
      </c>
      <c r="D12" s="378" t="s">
        <v>61</v>
      </c>
      <c r="F12" s="335" t="s">
        <v>62</v>
      </c>
      <c r="G12" s="384">
        <f>(100%-C19)*C15*(100%-C20)+C19*G11</f>
        <v>4.6799999999999994E-2</v>
      </c>
      <c r="H12" s="385"/>
      <c r="I12" s="185"/>
      <c r="J12" s="185"/>
      <c r="K12" s="185"/>
    </row>
    <row r="13" spans="2:26" ht="19.149999999999999" customHeight="1">
      <c r="B13" s="504" t="s">
        <v>145</v>
      </c>
      <c r="C13" s="386">
        <v>1</v>
      </c>
      <c r="D13" s="335"/>
      <c r="F13" s="387" t="s">
        <v>63</v>
      </c>
      <c r="G13" s="388">
        <v>0</v>
      </c>
      <c r="H13" s="389" t="s">
        <v>64</v>
      </c>
      <c r="I13" s="185"/>
      <c r="J13" s="185"/>
      <c r="K13" s="185"/>
    </row>
    <row r="14" spans="2:26" ht="19.149999999999999" customHeight="1">
      <c r="B14" s="505" t="s">
        <v>135</v>
      </c>
      <c r="C14" s="101">
        <v>341</v>
      </c>
      <c r="D14" s="340" t="s">
        <v>65</v>
      </c>
      <c r="F14" s="391" t="s">
        <v>66</v>
      </c>
      <c r="G14" s="392">
        <f>C67</f>
        <v>9.0070852237211563E-2</v>
      </c>
      <c r="H14" s="354"/>
      <c r="I14" s="185"/>
      <c r="J14" s="185"/>
      <c r="K14" s="185"/>
    </row>
    <row r="15" spans="2:26" ht="19.149999999999999" customHeight="1">
      <c r="B15" s="503" t="s">
        <v>132</v>
      </c>
      <c r="C15" s="110">
        <v>0.03</v>
      </c>
      <c r="D15" s="393"/>
      <c r="F15" s="356" t="s">
        <v>297</v>
      </c>
      <c r="H15" s="185"/>
      <c r="I15" s="185"/>
      <c r="J15" s="185"/>
      <c r="K15" s="185"/>
      <c r="L15" s="185"/>
    </row>
    <row r="16" spans="2:26" ht="19.149999999999999" customHeight="1">
      <c r="B16" s="507" t="s">
        <v>283</v>
      </c>
      <c r="C16" s="120">
        <v>0</v>
      </c>
      <c r="D16" s="394"/>
      <c r="E16" s="44"/>
      <c r="F16" s="395">
        <f>C26</f>
        <v>2022</v>
      </c>
      <c r="G16" s="395">
        <f>D26</f>
        <v>2023</v>
      </c>
      <c r="H16" s="395">
        <f>E26</f>
        <v>2024</v>
      </c>
      <c r="I16" s="395">
        <f>F26</f>
        <v>2025</v>
      </c>
      <c r="J16" s="185"/>
      <c r="K16" s="185"/>
      <c r="L16" s="185"/>
      <c r="O16" s="38"/>
    </row>
    <row r="17" spans="2:29" ht="19.149999999999999" customHeight="1">
      <c r="B17" s="507" t="s">
        <v>284</v>
      </c>
      <c r="C17" s="120">
        <v>0</v>
      </c>
      <c r="D17" s="394"/>
      <c r="E17" s="65"/>
      <c r="F17" s="396">
        <v>0.15</v>
      </c>
      <c r="G17" s="396">
        <v>0.3</v>
      </c>
      <c r="H17" s="396">
        <v>0.4</v>
      </c>
      <c r="I17" s="397">
        <f>1-F17-G17-H17</f>
        <v>0.15000000000000002</v>
      </c>
      <c r="J17" s="398" t="s">
        <v>138</v>
      </c>
      <c r="K17" s="185"/>
      <c r="L17" s="185"/>
      <c r="O17" s="38"/>
    </row>
    <row r="18" spans="2:29" ht="36.75" customHeight="1">
      <c r="B18" s="508" t="s">
        <v>285</v>
      </c>
      <c r="C18" s="121">
        <v>0</v>
      </c>
      <c r="D18" s="399"/>
      <c r="E18" s="3" t="s">
        <v>67</v>
      </c>
      <c r="F18" s="400">
        <v>0.15</v>
      </c>
      <c r="G18" s="400">
        <v>0.315</v>
      </c>
      <c r="H18" s="400">
        <v>0.34599999999999997</v>
      </c>
      <c r="I18" s="397">
        <f>1-F18-G18-H18</f>
        <v>0.18899999999999995</v>
      </c>
      <c r="J18" s="398" t="s">
        <v>128</v>
      </c>
      <c r="K18" s="185"/>
      <c r="L18" s="185"/>
    </row>
    <row r="19" spans="2:29" ht="19.149999999999999" customHeight="1">
      <c r="B19" s="501" t="s">
        <v>286</v>
      </c>
      <c r="C19" s="102">
        <v>0.3</v>
      </c>
      <c r="D19" s="365" t="s">
        <v>68</v>
      </c>
      <c r="K19" s="185"/>
      <c r="L19" s="185"/>
    </row>
    <row r="20" spans="2:29" ht="19.149999999999999" customHeight="1">
      <c r="B20" s="500" t="s">
        <v>133</v>
      </c>
      <c r="C20" s="98">
        <v>0.2</v>
      </c>
      <c r="D20" s="335"/>
    </row>
    <row r="21" spans="2:29" ht="19.149999999999999" customHeight="1">
      <c r="B21" s="509" t="s">
        <v>287</v>
      </c>
      <c r="C21" s="119">
        <f>-AA24/(AB41+AB42)</f>
        <v>2.0012418197034525</v>
      </c>
      <c r="D21" s="340"/>
      <c r="F21" s="96"/>
      <c r="G21" s="96"/>
      <c r="H21" s="96"/>
      <c r="I21" s="97"/>
      <c r="J21" s="60"/>
    </row>
    <row r="22" spans="2:29" ht="18" customHeight="1">
      <c r="G22" s="64"/>
    </row>
    <row r="23" spans="2:29" ht="18" customHeight="1">
      <c r="F23" s="401" t="s">
        <v>148</v>
      </c>
      <c r="G23" s="62">
        <f>G10</f>
        <v>15</v>
      </c>
      <c r="H23" s="62">
        <f>G23-1</f>
        <v>14</v>
      </c>
      <c r="I23" s="62">
        <f t="shared" ref="I23:Z23" si="0">H23-1</f>
        <v>13</v>
      </c>
      <c r="J23" s="62">
        <f t="shared" si="0"/>
        <v>12</v>
      </c>
      <c r="K23" s="62">
        <f t="shared" si="0"/>
        <v>11</v>
      </c>
      <c r="L23" s="62">
        <f t="shared" si="0"/>
        <v>10</v>
      </c>
      <c r="M23" s="62">
        <f t="shared" si="0"/>
        <v>9</v>
      </c>
      <c r="N23" s="62">
        <f t="shared" si="0"/>
        <v>8</v>
      </c>
      <c r="O23" s="62">
        <f t="shared" si="0"/>
        <v>7</v>
      </c>
      <c r="P23" s="62">
        <f t="shared" si="0"/>
        <v>6</v>
      </c>
      <c r="Q23" s="62">
        <f t="shared" si="0"/>
        <v>5</v>
      </c>
      <c r="R23" s="62">
        <f t="shared" si="0"/>
        <v>4</v>
      </c>
      <c r="S23" s="62">
        <f t="shared" si="0"/>
        <v>3</v>
      </c>
      <c r="T23" s="62">
        <f t="shared" si="0"/>
        <v>2</v>
      </c>
      <c r="U23" s="62">
        <f t="shared" si="0"/>
        <v>1</v>
      </c>
      <c r="V23" s="62">
        <f t="shared" si="0"/>
        <v>0</v>
      </c>
      <c r="W23" s="63">
        <f t="shared" si="0"/>
        <v>-1</v>
      </c>
      <c r="X23" s="63">
        <f t="shared" si="0"/>
        <v>-2</v>
      </c>
      <c r="Y23" s="63">
        <f t="shared" si="0"/>
        <v>-3</v>
      </c>
      <c r="Z23" s="63">
        <f t="shared" si="0"/>
        <v>-4</v>
      </c>
    </row>
    <row r="24" spans="2:29" ht="18" customHeight="1" outlineLevel="1" thickBot="1">
      <c r="C24" s="39">
        <f>C44-C41-C42</f>
        <v>0</v>
      </c>
      <c r="D24" s="39">
        <f t="shared" ref="D24:Z24" si="1">D44-D41-D42</f>
        <v>0</v>
      </c>
      <c r="E24" s="39">
        <f t="shared" si="1"/>
        <v>0</v>
      </c>
      <c r="F24" s="39">
        <f t="shared" si="1"/>
        <v>-2.3646862246096134E-11</v>
      </c>
      <c r="G24" s="39">
        <f t="shared" si="1"/>
        <v>129585.79268848864</v>
      </c>
      <c r="H24" s="39">
        <f t="shared" si="1"/>
        <v>129585.79268848864</v>
      </c>
      <c r="I24" s="39">
        <f t="shared" si="1"/>
        <v>129585.79268848864</v>
      </c>
      <c r="J24" s="39">
        <f t="shared" si="1"/>
        <v>129585.79268848864</v>
      </c>
      <c r="K24" s="39">
        <f t="shared" si="1"/>
        <v>124127.97643594716</v>
      </c>
      <c r="L24" s="39">
        <f t="shared" si="1"/>
        <v>119013.1408646581</v>
      </c>
      <c r="M24" s="39">
        <f t="shared" si="1"/>
        <v>115177.0141861913</v>
      </c>
      <c r="N24" s="39">
        <f t="shared" si="1"/>
        <v>112299.9191773412</v>
      </c>
      <c r="O24" s="39">
        <f t="shared" si="1"/>
        <v>110142.09792070363</v>
      </c>
      <c r="P24" s="39">
        <f t="shared" si="1"/>
        <v>108523.73197822546</v>
      </c>
      <c r="Q24" s="39">
        <f t="shared" si="1"/>
        <v>107309.95752136681</v>
      </c>
      <c r="R24" s="39">
        <f t="shared" si="1"/>
        <v>106399.62667872284</v>
      </c>
      <c r="S24" s="39">
        <f t="shared" si="1"/>
        <v>105716.87854673986</v>
      </c>
      <c r="T24" s="39">
        <f t="shared" si="1"/>
        <v>105204.81744775262</v>
      </c>
      <c r="U24" s="39">
        <f t="shared" si="1"/>
        <v>104820.77162351219</v>
      </c>
      <c r="V24" s="39">
        <f t="shared" si="1"/>
        <v>104532.73725533187</v>
      </c>
      <c r="W24" s="39">
        <f t="shared" si="1"/>
        <v>104316.71147919663</v>
      </c>
      <c r="X24" s="39">
        <f t="shared" si="1"/>
        <v>104316.71147919663</v>
      </c>
      <c r="Y24" s="39">
        <f t="shared" si="1"/>
        <v>104316.71147919663</v>
      </c>
      <c r="Z24" s="39">
        <f t="shared" si="1"/>
        <v>104316.71147919663</v>
      </c>
      <c r="AA24" s="39">
        <f>SUM(G24:Z24)</f>
        <v>2258878.6863072342</v>
      </c>
    </row>
    <row r="25" spans="2:29" ht="18" customHeight="1">
      <c r="B25" s="50"/>
      <c r="C25" s="51" t="s">
        <v>69</v>
      </c>
      <c r="D25" s="51" t="s">
        <v>70</v>
      </c>
      <c r="E25" s="51" t="s">
        <v>71</v>
      </c>
      <c r="F25" s="51" t="s">
        <v>72</v>
      </c>
      <c r="G25" s="103" t="s">
        <v>73</v>
      </c>
      <c r="H25" s="51" t="s">
        <v>74</v>
      </c>
      <c r="I25" s="51" t="s">
        <v>75</v>
      </c>
      <c r="J25" s="51" t="s">
        <v>76</v>
      </c>
      <c r="K25" s="51" t="s">
        <v>77</v>
      </c>
      <c r="L25" s="51" t="s">
        <v>78</v>
      </c>
      <c r="M25" s="51" t="s">
        <v>79</v>
      </c>
      <c r="N25" s="51" t="s">
        <v>80</v>
      </c>
      <c r="O25" s="51" t="s">
        <v>81</v>
      </c>
      <c r="P25" s="51" t="s">
        <v>82</v>
      </c>
      <c r="Q25" s="51" t="s">
        <v>83</v>
      </c>
      <c r="R25" s="51" t="s">
        <v>84</v>
      </c>
      <c r="S25" s="51" t="s">
        <v>85</v>
      </c>
      <c r="T25" s="51" t="s">
        <v>86</v>
      </c>
      <c r="U25" s="51" t="s">
        <v>87</v>
      </c>
      <c r="V25" s="51" t="s">
        <v>88</v>
      </c>
      <c r="W25" s="52" t="s">
        <v>89</v>
      </c>
      <c r="X25" s="51" t="s">
        <v>90</v>
      </c>
      <c r="Y25" s="53" t="s">
        <v>91</v>
      </c>
      <c r="Z25" s="53" t="s">
        <v>92</v>
      </c>
    </row>
    <row r="26" spans="2:29">
      <c r="B26" s="54" t="s">
        <v>93</v>
      </c>
      <c r="C26" s="55">
        <f t="shared" ref="C26:E26" si="2">D26-1</f>
        <v>2022</v>
      </c>
      <c r="D26" s="55">
        <f t="shared" si="2"/>
        <v>2023</v>
      </c>
      <c r="E26" s="55">
        <f t="shared" si="2"/>
        <v>2024</v>
      </c>
      <c r="F26" s="55">
        <f>G26-1</f>
        <v>2025</v>
      </c>
      <c r="G26" s="104">
        <f>'NH3 Cost (NG)'!P5</f>
        <v>2026</v>
      </c>
      <c r="H26" s="55">
        <f t="shared" ref="H26:Z26" si="3">G26+1</f>
        <v>2027</v>
      </c>
      <c r="I26" s="55">
        <f t="shared" si="3"/>
        <v>2028</v>
      </c>
      <c r="J26" s="55">
        <f t="shared" si="3"/>
        <v>2029</v>
      </c>
      <c r="K26" s="55">
        <f t="shared" si="3"/>
        <v>2030</v>
      </c>
      <c r="L26" s="55">
        <f t="shared" si="3"/>
        <v>2031</v>
      </c>
      <c r="M26" s="55">
        <f t="shared" si="3"/>
        <v>2032</v>
      </c>
      <c r="N26" s="55">
        <f t="shared" si="3"/>
        <v>2033</v>
      </c>
      <c r="O26" s="55">
        <f t="shared" si="3"/>
        <v>2034</v>
      </c>
      <c r="P26" s="55">
        <f t="shared" si="3"/>
        <v>2035</v>
      </c>
      <c r="Q26" s="55">
        <f t="shared" si="3"/>
        <v>2036</v>
      </c>
      <c r="R26" s="55">
        <f t="shared" si="3"/>
        <v>2037</v>
      </c>
      <c r="S26" s="55">
        <f t="shared" si="3"/>
        <v>2038</v>
      </c>
      <c r="T26" s="55">
        <f t="shared" si="3"/>
        <v>2039</v>
      </c>
      <c r="U26" s="55">
        <f t="shared" si="3"/>
        <v>2040</v>
      </c>
      <c r="V26" s="55">
        <f t="shared" si="3"/>
        <v>2041</v>
      </c>
      <c r="W26" s="55">
        <f t="shared" si="3"/>
        <v>2042</v>
      </c>
      <c r="X26" s="55">
        <f t="shared" si="3"/>
        <v>2043</v>
      </c>
      <c r="Y26" s="55">
        <f t="shared" si="3"/>
        <v>2044</v>
      </c>
      <c r="Z26" s="106">
        <f t="shared" si="3"/>
        <v>2045</v>
      </c>
    </row>
    <row r="27" spans="2:29">
      <c r="B27" s="4" t="s">
        <v>94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5"/>
      <c r="Z27" s="7"/>
      <c r="AC27" s="3" t="s">
        <v>95</v>
      </c>
    </row>
    <row r="28" spans="2:29">
      <c r="B28" s="8" t="s">
        <v>96</v>
      </c>
      <c r="C28" s="9"/>
      <c r="D28" s="9"/>
      <c r="E28" s="9"/>
      <c r="F28" s="9"/>
      <c r="G28" s="13">
        <f>'NH3 Cost (NG)'!C5*'NH3 Cost (NG)'!C8/100/1000*C14</f>
        <v>341000</v>
      </c>
      <c r="H28" s="10">
        <f t="shared" ref="H28:Z28" si="4">G28*(1+$C$16)</f>
        <v>341000</v>
      </c>
      <c r="I28" s="10">
        <f t="shared" si="4"/>
        <v>341000</v>
      </c>
      <c r="J28" s="10">
        <f t="shared" si="4"/>
        <v>341000</v>
      </c>
      <c r="K28" s="10">
        <f t="shared" si="4"/>
        <v>341000</v>
      </c>
      <c r="L28" s="10">
        <f t="shared" si="4"/>
        <v>341000</v>
      </c>
      <c r="M28" s="10">
        <f t="shared" si="4"/>
        <v>341000</v>
      </c>
      <c r="N28" s="10">
        <f t="shared" si="4"/>
        <v>341000</v>
      </c>
      <c r="O28" s="10">
        <f t="shared" si="4"/>
        <v>341000</v>
      </c>
      <c r="P28" s="10">
        <f t="shared" si="4"/>
        <v>341000</v>
      </c>
      <c r="Q28" s="10">
        <f t="shared" si="4"/>
        <v>341000</v>
      </c>
      <c r="R28" s="10">
        <f t="shared" si="4"/>
        <v>341000</v>
      </c>
      <c r="S28" s="10">
        <f t="shared" si="4"/>
        <v>341000</v>
      </c>
      <c r="T28" s="10">
        <f t="shared" si="4"/>
        <v>341000</v>
      </c>
      <c r="U28" s="10">
        <f t="shared" si="4"/>
        <v>341000</v>
      </c>
      <c r="V28" s="10">
        <f t="shared" si="4"/>
        <v>341000</v>
      </c>
      <c r="W28" s="10">
        <f t="shared" si="4"/>
        <v>341000</v>
      </c>
      <c r="X28" s="10">
        <f t="shared" si="4"/>
        <v>341000</v>
      </c>
      <c r="Y28" s="10">
        <f t="shared" si="4"/>
        <v>341000</v>
      </c>
      <c r="Z28" s="90">
        <f t="shared" si="4"/>
        <v>341000</v>
      </c>
      <c r="AA28" s="136" t="s">
        <v>158</v>
      </c>
      <c r="AB28" s="25">
        <f>SUM(C28:Z28)</f>
        <v>6820000</v>
      </c>
      <c r="AC28" s="3">
        <f>AB28/($C$12*$G$8)</f>
        <v>341</v>
      </c>
    </row>
    <row r="29" spans="2:29">
      <c r="B29" s="8" t="s">
        <v>97</v>
      </c>
      <c r="C29" s="13">
        <f>C30/$C$19*(1-$C$19)</f>
        <v>135789.41250000001</v>
      </c>
      <c r="D29" s="13">
        <f>D30/$C$19*(1-$C$19)</f>
        <v>271578.82500000001</v>
      </c>
      <c r="E29" s="13">
        <f>E30/$C$19*(1-$C$19)</f>
        <v>362105.1</v>
      </c>
      <c r="F29" s="13">
        <f>F30/$C$19*(1-$C$19)</f>
        <v>140799.64499999999</v>
      </c>
      <c r="G29" s="13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  <c r="Y29" s="10"/>
      <c r="Z29" s="12"/>
      <c r="AC29" s="3">
        <f>AC28/C14</f>
        <v>1</v>
      </c>
    </row>
    <row r="30" spans="2:29">
      <c r="B30" s="8" t="s">
        <v>98</v>
      </c>
      <c r="C30" s="13">
        <f>-(C31+C32)*$C$19</f>
        <v>58195.462500000001</v>
      </c>
      <c r="D30" s="13">
        <f>-(D31+D32)*$C$19</f>
        <v>116390.925</v>
      </c>
      <c r="E30" s="13">
        <f>-(E31+E32)*$C$19</f>
        <v>155187.9</v>
      </c>
      <c r="F30" s="13">
        <f>-(F31+F32+F34+F35)*$C$19</f>
        <v>60342.705000000002</v>
      </c>
      <c r="G30" s="13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10"/>
      <c r="Z30" s="12"/>
    </row>
    <row r="31" spans="2:29">
      <c r="B31" s="8" t="s">
        <v>99</v>
      </c>
      <c r="C31" s="40">
        <f>-$C$4*F17</f>
        <v>-184747.5</v>
      </c>
      <c r="D31" s="40">
        <f>-$C$4*G17</f>
        <v>-369495</v>
      </c>
      <c r="E31" s="40">
        <f>-$C$4*H17</f>
        <v>-492660</v>
      </c>
      <c r="F31" s="41">
        <f>-(C4+C31+D31+E31)</f>
        <v>-184747.5</v>
      </c>
      <c r="G31" s="13"/>
      <c r="H31" s="36"/>
      <c r="I31" s="36"/>
      <c r="J31" s="36"/>
      <c r="K31" s="36"/>
      <c r="L31" s="37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14"/>
      <c r="Y31" s="9"/>
      <c r="Z31" s="15"/>
    </row>
    <row r="32" spans="2:29">
      <c r="B32" s="8" t="s">
        <v>51</v>
      </c>
      <c r="C32" s="42">
        <f>-$C$10*F17</f>
        <v>-9237.375</v>
      </c>
      <c r="D32" s="42">
        <f>-$C$10*G17</f>
        <v>-18474.75</v>
      </c>
      <c r="E32" s="42">
        <f>-$C$10*H17</f>
        <v>-24633</v>
      </c>
      <c r="F32" s="29">
        <f>-(C10+C32+D32+E32)</f>
        <v>-9237.375</v>
      </c>
      <c r="G32" s="13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14"/>
      <c r="Y32" s="9"/>
      <c r="Z32" s="15"/>
    </row>
    <row r="33" spans="2:29" outlineLevel="1">
      <c r="B33" s="16" t="s">
        <v>100</v>
      </c>
      <c r="C33" s="17"/>
      <c r="D33" s="17"/>
      <c r="E33" s="17"/>
      <c r="F33" s="91" t="s">
        <v>101</v>
      </c>
      <c r="G33" s="10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4"/>
      <c r="Y33" s="9"/>
      <c r="Z33" s="15"/>
    </row>
    <row r="34" spans="2:29">
      <c r="B34" s="8" t="s">
        <v>102</v>
      </c>
      <c r="C34" s="9"/>
      <c r="D34" s="9"/>
      <c r="E34" s="9"/>
      <c r="F34" s="115">
        <f>0.5*G34</f>
        <v>-2949.9999999999995</v>
      </c>
      <c r="G34" s="29">
        <f>-'NH3 Cost (NG)'!H25*'NH3 Cost (NG)'!C5*'NH3 Cost (NG)'!C8/100/1000</f>
        <v>-5899.9999999999991</v>
      </c>
      <c r="H34" s="10">
        <f t="shared" ref="H34:Z34" si="5">G34*(1+$C$18)</f>
        <v>-5899.9999999999991</v>
      </c>
      <c r="I34" s="10">
        <f t="shared" si="5"/>
        <v>-5899.9999999999991</v>
      </c>
      <c r="J34" s="10">
        <f t="shared" si="5"/>
        <v>-5899.9999999999991</v>
      </c>
      <c r="K34" s="10">
        <f t="shared" si="5"/>
        <v>-5899.9999999999991</v>
      </c>
      <c r="L34" s="10">
        <f t="shared" si="5"/>
        <v>-5899.9999999999991</v>
      </c>
      <c r="M34" s="10">
        <f t="shared" si="5"/>
        <v>-5899.9999999999991</v>
      </c>
      <c r="N34" s="10">
        <f t="shared" si="5"/>
        <v>-5899.9999999999991</v>
      </c>
      <c r="O34" s="10">
        <f t="shared" si="5"/>
        <v>-5899.9999999999991</v>
      </c>
      <c r="P34" s="10">
        <f t="shared" si="5"/>
        <v>-5899.9999999999991</v>
      </c>
      <c r="Q34" s="10">
        <f t="shared" si="5"/>
        <v>-5899.9999999999991</v>
      </c>
      <c r="R34" s="10">
        <f t="shared" si="5"/>
        <v>-5899.9999999999991</v>
      </c>
      <c r="S34" s="10">
        <f t="shared" si="5"/>
        <v>-5899.9999999999991</v>
      </c>
      <c r="T34" s="10">
        <f t="shared" si="5"/>
        <v>-5899.9999999999991</v>
      </c>
      <c r="U34" s="10">
        <f t="shared" si="5"/>
        <v>-5899.9999999999991</v>
      </c>
      <c r="V34" s="10">
        <f t="shared" si="5"/>
        <v>-5899.9999999999991</v>
      </c>
      <c r="W34" s="10">
        <f t="shared" si="5"/>
        <v>-5899.9999999999991</v>
      </c>
      <c r="X34" s="10">
        <f t="shared" si="5"/>
        <v>-5899.9999999999991</v>
      </c>
      <c r="Y34" s="10">
        <f t="shared" si="5"/>
        <v>-5899.9999999999991</v>
      </c>
      <c r="Z34" s="90">
        <f t="shared" si="5"/>
        <v>-5899.9999999999991</v>
      </c>
      <c r="AA34" s="14" t="s">
        <v>102</v>
      </c>
      <c r="AB34" s="25">
        <f>SUM(C33:Z34)</f>
        <v>-120949.99999999999</v>
      </c>
      <c r="AC34" s="3">
        <f t="shared" ref="AC34:AC44" si="6">AB34/($C$12*$G$8)</f>
        <v>-6.0474999999999994</v>
      </c>
    </row>
    <row r="35" spans="2:29">
      <c r="B35" s="8" t="s">
        <v>103</v>
      </c>
      <c r="C35" s="9"/>
      <c r="D35" s="9"/>
      <c r="E35" s="9"/>
      <c r="F35" s="115">
        <f>0.5*G35</f>
        <v>-4207.4750000000013</v>
      </c>
      <c r="G35" s="29">
        <f>-'NH3 Cost (NG)'!H27*'NH3 Cost (NG)'!C5*'NH3 Cost (NG)'!C8/100/1000</f>
        <v>-8414.9500000000025</v>
      </c>
      <c r="H35" s="10">
        <f t="shared" ref="H35:Z35" si="7">G35*(1+$C$18)</f>
        <v>-8414.9500000000025</v>
      </c>
      <c r="I35" s="10">
        <f t="shared" si="7"/>
        <v>-8414.9500000000025</v>
      </c>
      <c r="J35" s="10">
        <f t="shared" si="7"/>
        <v>-8414.9500000000025</v>
      </c>
      <c r="K35" s="10">
        <f t="shared" si="7"/>
        <v>-8414.9500000000025</v>
      </c>
      <c r="L35" s="10">
        <f t="shared" si="7"/>
        <v>-8414.9500000000025</v>
      </c>
      <c r="M35" s="10">
        <f t="shared" si="7"/>
        <v>-8414.9500000000025</v>
      </c>
      <c r="N35" s="10">
        <f t="shared" si="7"/>
        <v>-8414.9500000000025</v>
      </c>
      <c r="O35" s="10">
        <f t="shared" si="7"/>
        <v>-8414.9500000000025</v>
      </c>
      <c r="P35" s="10">
        <f t="shared" si="7"/>
        <v>-8414.9500000000025</v>
      </c>
      <c r="Q35" s="10">
        <f t="shared" si="7"/>
        <v>-8414.9500000000025</v>
      </c>
      <c r="R35" s="10">
        <f t="shared" si="7"/>
        <v>-8414.9500000000025</v>
      </c>
      <c r="S35" s="10">
        <f t="shared" si="7"/>
        <v>-8414.9500000000025</v>
      </c>
      <c r="T35" s="10">
        <f t="shared" si="7"/>
        <v>-8414.9500000000025</v>
      </c>
      <c r="U35" s="10">
        <f t="shared" si="7"/>
        <v>-8414.9500000000025</v>
      </c>
      <c r="V35" s="10">
        <f t="shared" si="7"/>
        <v>-8414.9500000000025</v>
      </c>
      <c r="W35" s="10">
        <f t="shared" si="7"/>
        <v>-8414.9500000000025</v>
      </c>
      <c r="X35" s="10">
        <f t="shared" si="7"/>
        <v>-8414.9500000000025</v>
      </c>
      <c r="Y35" s="10">
        <f t="shared" si="7"/>
        <v>-8414.9500000000025</v>
      </c>
      <c r="Z35" s="90">
        <f t="shared" si="7"/>
        <v>-8414.9500000000025</v>
      </c>
      <c r="AA35" s="14" t="s">
        <v>103</v>
      </c>
      <c r="AB35" s="25">
        <f t="shared" ref="AB35:AB39" si="8">SUM(C35:Z35)</f>
        <v>-172506.47500000006</v>
      </c>
      <c r="AC35" s="3">
        <f t="shared" si="6"/>
        <v>-8.6253237500000033</v>
      </c>
    </row>
    <row r="36" spans="2:29">
      <c r="B36" s="8" t="s">
        <v>104</v>
      </c>
      <c r="C36" s="9"/>
      <c r="D36" s="9"/>
      <c r="E36" s="9"/>
      <c r="F36" s="9"/>
      <c r="G36" s="29">
        <f>-'NH3 Cost (NG)'!H26*'NH3 Cost (NG)'!C5*'NH3 Cost (NG)'!C8/100/1000</f>
        <v>-18474.75</v>
      </c>
      <c r="H36" s="10">
        <f t="shared" ref="H36:Z36" si="9">G36*(1+$C$18)</f>
        <v>-18474.75</v>
      </c>
      <c r="I36" s="10">
        <f t="shared" si="9"/>
        <v>-18474.75</v>
      </c>
      <c r="J36" s="10">
        <f t="shared" si="9"/>
        <v>-18474.75</v>
      </c>
      <c r="K36" s="10">
        <f t="shared" si="9"/>
        <v>-18474.75</v>
      </c>
      <c r="L36" s="10">
        <f t="shared" si="9"/>
        <v>-18474.75</v>
      </c>
      <c r="M36" s="10">
        <f t="shared" si="9"/>
        <v>-18474.75</v>
      </c>
      <c r="N36" s="10">
        <f t="shared" si="9"/>
        <v>-18474.75</v>
      </c>
      <c r="O36" s="10">
        <f t="shared" si="9"/>
        <v>-18474.75</v>
      </c>
      <c r="P36" s="10">
        <f t="shared" si="9"/>
        <v>-18474.75</v>
      </c>
      <c r="Q36" s="10">
        <f t="shared" si="9"/>
        <v>-18474.75</v>
      </c>
      <c r="R36" s="10">
        <f t="shared" si="9"/>
        <v>-18474.75</v>
      </c>
      <c r="S36" s="10">
        <f t="shared" si="9"/>
        <v>-18474.75</v>
      </c>
      <c r="T36" s="10">
        <f t="shared" si="9"/>
        <v>-18474.75</v>
      </c>
      <c r="U36" s="10">
        <f t="shared" si="9"/>
        <v>-18474.75</v>
      </c>
      <c r="V36" s="10">
        <f t="shared" si="9"/>
        <v>-18474.75</v>
      </c>
      <c r="W36" s="10">
        <f t="shared" si="9"/>
        <v>-18474.75</v>
      </c>
      <c r="X36" s="10">
        <f t="shared" si="9"/>
        <v>-18474.75</v>
      </c>
      <c r="Y36" s="10">
        <f t="shared" si="9"/>
        <v>-18474.75</v>
      </c>
      <c r="Z36" s="90">
        <f t="shared" si="9"/>
        <v>-18474.75</v>
      </c>
      <c r="AA36" s="14" t="s">
        <v>104</v>
      </c>
      <c r="AB36" s="25">
        <f t="shared" si="8"/>
        <v>-369495</v>
      </c>
      <c r="AC36" s="3">
        <f t="shared" si="6"/>
        <v>-18.47475</v>
      </c>
    </row>
    <row r="37" spans="2:29">
      <c r="B37" s="8" t="s">
        <v>105</v>
      </c>
      <c r="C37" s="9"/>
      <c r="D37" s="9"/>
      <c r="E37" s="9"/>
      <c r="F37" s="9"/>
      <c r="G37" s="29">
        <f>-('NH3 Cost (NG)'!H29+'NH3 Cost (NG)'!H28)*'NH3 Cost (NG)'!C5*'NH3 Cost (NG)'!C8/100/1000</f>
        <v>-9658.2499999999982</v>
      </c>
      <c r="H37" s="10">
        <f t="shared" ref="H37:Z37" si="10">G37*(1+$C$18)</f>
        <v>-9658.2499999999982</v>
      </c>
      <c r="I37" s="10">
        <f t="shared" si="10"/>
        <v>-9658.2499999999982</v>
      </c>
      <c r="J37" s="10">
        <f t="shared" si="10"/>
        <v>-9658.2499999999982</v>
      </c>
      <c r="K37" s="10">
        <f t="shared" si="10"/>
        <v>-9658.2499999999982</v>
      </c>
      <c r="L37" s="10">
        <f t="shared" si="10"/>
        <v>-9658.2499999999982</v>
      </c>
      <c r="M37" s="10">
        <f t="shared" si="10"/>
        <v>-9658.2499999999982</v>
      </c>
      <c r="N37" s="10">
        <f t="shared" si="10"/>
        <v>-9658.2499999999982</v>
      </c>
      <c r="O37" s="10">
        <f t="shared" si="10"/>
        <v>-9658.2499999999982</v>
      </c>
      <c r="P37" s="10">
        <f t="shared" si="10"/>
        <v>-9658.2499999999982</v>
      </c>
      <c r="Q37" s="10">
        <f t="shared" si="10"/>
        <v>-9658.2499999999982</v>
      </c>
      <c r="R37" s="10">
        <f t="shared" si="10"/>
        <v>-9658.2499999999982</v>
      </c>
      <c r="S37" s="10">
        <f t="shared" si="10"/>
        <v>-9658.2499999999982</v>
      </c>
      <c r="T37" s="10">
        <f t="shared" si="10"/>
        <v>-9658.2499999999982</v>
      </c>
      <c r="U37" s="10">
        <f t="shared" si="10"/>
        <v>-9658.2499999999982</v>
      </c>
      <c r="V37" s="10">
        <f t="shared" si="10"/>
        <v>-9658.2499999999982</v>
      </c>
      <c r="W37" s="10">
        <f t="shared" si="10"/>
        <v>-9658.2499999999982</v>
      </c>
      <c r="X37" s="10">
        <f t="shared" si="10"/>
        <v>-9658.2499999999982</v>
      </c>
      <c r="Y37" s="10">
        <f t="shared" si="10"/>
        <v>-9658.2499999999982</v>
      </c>
      <c r="Z37" s="90">
        <f t="shared" si="10"/>
        <v>-9658.2499999999982</v>
      </c>
      <c r="AA37" s="14" t="s">
        <v>105</v>
      </c>
      <c r="AB37" s="25">
        <f t="shared" si="8"/>
        <v>-193164.99999999997</v>
      </c>
      <c r="AC37" s="3">
        <f t="shared" si="6"/>
        <v>-9.6582499999999989</v>
      </c>
    </row>
    <row r="38" spans="2:29" ht="15.75">
      <c r="B38" s="34" t="s">
        <v>106</v>
      </c>
      <c r="C38" s="9"/>
      <c r="D38" s="9"/>
      <c r="E38" s="9"/>
      <c r="F38" s="9"/>
      <c r="G38" s="29">
        <f>-'NH3 Cost (NG)'!H32*'NH3 Cost (NG)'!C5*'NH3 Cost (NG)'!C8/100/1000</f>
        <v>-107165.23869346736</v>
      </c>
      <c r="H38" s="10">
        <f t="shared" ref="H38:Z38" si="11">G38*(1+$C$17)</f>
        <v>-107165.23869346736</v>
      </c>
      <c r="I38" s="10">
        <f t="shared" si="11"/>
        <v>-107165.23869346736</v>
      </c>
      <c r="J38" s="10">
        <f t="shared" si="11"/>
        <v>-107165.23869346736</v>
      </c>
      <c r="K38" s="10">
        <f t="shared" si="11"/>
        <v>-107165.23869346736</v>
      </c>
      <c r="L38" s="10">
        <f t="shared" si="11"/>
        <v>-107165.23869346736</v>
      </c>
      <c r="M38" s="10">
        <f t="shared" si="11"/>
        <v>-107165.23869346736</v>
      </c>
      <c r="N38" s="10">
        <f t="shared" si="11"/>
        <v>-107165.23869346736</v>
      </c>
      <c r="O38" s="10">
        <f t="shared" si="11"/>
        <v>-107165.23869346736</v>
      </c>
      <c r="P38" s="10">
        <f t="shared" si="11"/>
        <v>-107165.23869346736</v>
      </c>
      <c r="Q38" s="10">
        <f t="shared" si="11"/>
        <v>-107165.23869346736</v>
      </c>
      <c r="R38" s="10">
        <f t="shared" si="11"/>
        <v>-107165.23869346736</v>
      </c>
      <c r="S38" s="10">
        <f t="shared" si="11"/>
        <v>-107165.23869346736</v>
      </c>
      <c r="T38" s="10">
        <f t="shared" si="11"/>
        <v>-107165.23869346736</v>
      </c>
      <c r="U38" s="10">
        <f t="shared" si="11"/>
        <v>-107165.23869346736</v>
      </c>
      <c r="V38" s="10">
        <f t="shared" si="11"/>
        <v>-107165.23869346736</v>
      </c>
      <c r="W38" s="10">
        <f t="shared" si="11"/>
        <v>-107165.23869346736</v>
      </c>
      <c r="X38" s="10">
        <f t="shared" si="11"/>
        <v>-107165.23869346736</v>
      </c>
      <c r="Y38" s="10">
        <f t="shared" si="11"/>
        <v>-107165.23869346736</v>
      </c>
      <c r="Z38" s="90">
        <f t="shared" si="11"/>
        <v>-107165.23869346736</v>
      </c>
      <c r="AA38" s="3" t="s">
        <v>12</v>
      </c>
      <c r="AB38" s="25">
        <f t="shared" si="8"/>
        <v>-2143304.7738693473</v>
      </c>
      <c r="AC38" s="3">
        <f t="shared" si="6"/>
        <v>-107.16523869346736</v>
      </c>
    </row>
    <row r="39" spans="2:29">
      <c r="B39" s="8" t="s">
        <v>107</v>
      </c>
      <c r="C39" s="9"/>
      <c r="D39" s="9"/>
      <c r="E39" s="9"/>
      <c r="F39" s="9"/>
      <c r="G39" s="29">
        <f>-('NH3 Cost (NG)'!H37-'NH3 Cost (NG)'!H32)*'NH3 Cost (NG)'!C5*'NH3 Cost (NG)'!C8/100/1000</f>
        <v>-61801.018618044014</v>
      </c>
      <c r="H39" s="10">
        <f t="shared" ref="H39:Z39" si="12">G39*(1+$C$18)</f>
        <v>-61801.018618044014</v>
      </c>
      <c r="I39" s="10">
        <f t="shared" si="12"/>
        <v>-61801.018618044014</v>
      </c>
      <c r="J39" s="10">
        <f t="shared" si="12"/>
        <v>-61801.018618044014</v>
      </c>
      <c r="K39" s="10">
        <f t="shared" si="12"/>
        <v>-61801.018618044014</v>
      </c>
      <c r="L39" s="10">
        <f t="shared" si="12"/>
        <v>-61801.018618044014</v>
      </c>
      <c r="M39" s="10">
        <f t="shared" si="12"/>
        <v>-61801.018618044014</v>
      </c>
      <c r="N39" s="10">
        <f t="shared" si="12"/>
        <v>-61801.018618044014</v>
      </c>
      <c r="O39" s="10">
        <f t="shared" si="12"/>
        <v>-61801.018618044014</v>
      </c>
      <c r="P39" s="10">
        <f t="shared" si="12"/>
        <v>-61801.018618044014</v>
      </c>
      <c r="Q39" s="10">
        <f t="shared" si="12"/>
        <v>-61801.018618044014</v>
      </c>
      <c r="R39" s="10">
        <f t="shared" si="12"/>
        <v>-61801.018618044014</v>
      </c>
      <c r="S39" s="10">
        <f t="shared" si="12"/>
        <v>-61801.018618044014</v>
      </c>
      <c r="T39" s="10">
        <f t="shared" si="12"/>
        <v>-61801.018618044014</v>
      </c>
      <c r="U39" s="10">
        <f t="shared" si="12"/>
        <v>-61801.018618044014</v>
      </c>
      <c r="V39" s="10">
        <f t="shared" si="12"/>
        <v>-61801.018618044014</v>
      </c>
      <c r="W39" s="10">
        <f t="shared" si="12"/>
        <v>-61801.018618044014</v>
      </c>
      <c r="X39" s="10">
        <f t="shared" si="12"/>
        <v>-61801.018618044014</v>
      </c>
      <c r="Y39" s="10">
        <f t="shared" si="12"/>
        <v>-61801.018618044014</v>
      </c>
      <c r="Z39" s="90">
        <f t="shared" si="12"/>
        <v>-61801.018618044014</v>
      </c>
      <c r="AB39" s="25">
        <f t="shared" si="8"/>
        <v>-1236020.37236088</v>
      </c>
      <c r="AC39" s="3">
        <f t="shared" si="6"/>
        <v>-61.801018618044004</v>
      </c>
    </row>
    <row r="40" spans="2:29">
      <c r="B40" s="46"/>
      <c r="C40" s="47"/>
      <c r="D40" s="47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58"/>
      <c r="AA40" s="136" t="s">
        <v>159</v>
      </c>
      <c r="AB40" s="22">
        <f>AB41+AB42</f>
        <v>-1128738.4982999999</v>
      </c>
      <c r="AC40" s="3">
        <f t="shared" si="6"/>
        <v>-56.436924914999992</v>
      </c>
    </row>
    <row r="41" spans="2:29">
      <c r="B41" s="8" t="s">
        <v>108</v>
      </c>
      <c r="C41" s="9"/>
      <c r="D41" s="9"/>
      <c r="E41" s="9"/>
      <c r="F41" s="9"/>
      <c r="G41" s="13">
        <f>-F48/G9</f>
        <v>-60684.8655</v>
      </c>
      <c r="H41" s="13">
        <f t="shared" ref="H41:Z41" si="13">IF(H23&gt;0,G41,0)</f>
        <v>-60684.8655</v>
      </c>
      <c r="I41" s="13">
        <f t="shared" si="13"/>
        <v>-60684.8655</v>
      </c>
      <c r="J41" s="13">
        <f t="shared" si="13"/>
        <v>-60684.8655</v>
      </c>
      <c r="K41" s="13">
        <f t="shared" si="13"/>
        <v>-60684.8655</v>
      </c>
      <c r="L41" s="13">
        <f t="shared" si="13"/>
        <v>-60684.8655</v>
      </c>
      <c r="M41" s="13">
        <f t="shared" si="13"/>
        <v>-60684.8655</v>
      </c>
      <c r="N41" s="13">
        <f t="shared" si="13"/>
        <v>-60684.8655</v>
      </c>
      <c r="O41" s="13">
        <f t="shared" si="13"/>
        <v>-60684.8655</v>
      </c>
      <c r="P41" s="13">
        <f t="shared" si="13"/>
        <v>-60684.8655</v>
      </c>
      <c r="Q41" s="13">
        <f t="shared" si="13"/>
        <v>-60684.8655</v>
      </c>
      <c r="R41" s="13">
        <f t="shared" si="13"/>
        <v>-60684.8655</v>
      </c>
      <c r="S41" s="13">
        <f t="shared" si="13"/>
        <v>-60684.8655</v>
      </c>
      <c r="T41" s="13">
        <f t="shared" si="13"/>
        <v>-60684.8655</v>
      </c>
      <c r="U41" s="13">
        <f t="shared" si="13"/>
        <v>-60684.8655</v>
      </c>
      <c r="V41" s="13">
        <f t="shared" si="13"/>
        <v>0</v>
      </c>
      <c r="W41" s="13">
        <f t="shared" si="13"/>
        <v>0</v>
      </c>
      <c r="X41" s="13">
        <f t="shared" si="13"/>
        <v>0</v>
      </c>
      <c r="Y41" s="13">
        <f t="shared" si="13"/>
        <v>0</v>
      </c>
      <c r="Z41" s="18">
        <f t="shared" si="13"/>
        <v>0</v>
      </c>
      <c r="AA41" s="137" t="s">
        <v>160</v>
      </c>
      <c r="AB41" s="25">
        <f>SUM(C41:Z41)</f>
        <v>-910272.98249999981</v>
      </c>
      <c r="AC41" s="3">
        <f t="shared" si="6"/>
        <v>-45.513649124999993</v>
      </c>
    </row>
    <row r="42" spans="2:29">
      <c r="B42" s="8" t="s">
        <v>109</v>
      </c>
      <c r="C42" s="13"/>
      <c r="D42" s="13"/>
      <c r="E42" s="13"/>
      <c r="F42" s="13"/>
      <c r="G42" s="13">
        <f t="shared" ref="G42:Z42" si="14">-F48*$C$15</f>
        <v>-27308.189474999999</v>
      </c>
      <c r="H42" s="13">
        <f t="shared" si="14"/>
        <v>-25487.643510000002</v>
      </c>
      <c r="I42" s="13">
        <f t="shared" si="14"/>
        <v>-23667.097545000004</v>
      </c>
      <c r="J42" s="13">
        <f t="shared" si="14"/>
        <v>-21846.551580000003</v>
      </c>
      <c r="K42" s="13">
        <f t="shared" si="14"/>
        <v>-20026.005615000005</v>
      </c>
      <c r="L42" s="13">
        <f t="shared" si="14"/>
        <v>-18205.459650000008</v>
      </c>
      <c r="M42" s="13">
        <f t="shared" si="14"/>
        <v>-16384.913685000007</v>
      </c>
      <c r="N42" s="13">
        <f t="shared" si="14"/>
        <v>-14564.367720000007</v>
      </c>
      <c r="O42" s="13">
        <f t="shared" si="14"/>
        <v>-12743.821755000008</v>
      </c>
      <c r="P42" s="13">
        <f t="shared" si="14"/>
        <v>-10923.275790000007</v>
      </c>
      <c r="Q42" s="13">
        <f t="shared" si="14"/>
        <v>-9102.7298250000076</v>
      </c>
      <c r="R42" s="13">
        <f t="shared" si="14"/>
        <v>-7282.1838600000065</v>
      </c>
      <c r="S42" s="13">
        <f t="shared" si="14"/>
        <v>-5461.6378950000062</v>
      </c>
      <c r="T42" s="13">
        <f t="shared" si="14"/>
        <v>-3641.0919300000064</v>
      </c>
      <c r="U42" s="13">
        <f t="shared" si="14"/>
        <v>-1820.5459650000064</v>
      </c>
      <c r="V42" s="13">
        <f t="shared" si="14"/>
        <v>-6.5483618527650827E-12</v>
      </c>
      <c r="W42" s="13">
        <f t="shared" si="14"/>
        <v>0</v>
      </c>
      <c r="X42" s="13">
        <f t="shared" si="14"/>
        <v>0</v>
      </c>
      <c r="Y42" s="13">
        <f t="shared" si="14"/>
        <v>0</v>
      </c>
      <c r="Z42" s="18">
        <f t="shared" si="14"/>
        <v>0</v>
      </c>
      <c r="AA42" s="137" t="s">
        <v>153</v>
      </c>
      <c r="AB42" s="25">
        <f>SUM(C42:Z42)</f>
        <v>-218465.51580000008</v>
      </c>
      <c r="AC42" s="3">
        <f t="shared" si="6"/>
        <v>-10.923275790000003</v>
      </c>
    </row>
    <row r="43" spans="2:29">
      <c r="B43" s="139" t="s">
        <v>149</v>
      </c>
      <c r="C43" s="83"/>
      <c r="D43" s="83"/>
      <c r="E43" s="83"/>
      <c r="F43" s="83"/>
      <c r="G43" s="83">
        <f>G75</f>
        <v>0</v>
      </c>
      <c r="H43" s="83">
        <f t="shared" ref="H43:Z43" si="15">H75</f>
        <v>0</v>
      </c>
      <c r="I43" s="83">
        <f t="shared" si="15"/>
        <v>0</v>
      </c>
      <c r="J43" s="83">
        <f t="shared" si="15"/>
        <v>0</v>
      </c>
      <c r="K43" s="83">
        <f t="shared" si="15"/>
        <v>-5457.8162525414782</v>
      </c>
      <c r="L43" s="83">
        <f t="shared" si="15"/>
        <v>-10572.651823830542</v>
      </c>
      <c r="M43" s="83">
        <f t="shared" si="15"/>
        <v>-14408.778502297338</v>
      </c>
      <c r="N43" s="83">
        <f t="shared" si="15"/>
        <v>-17285.873511147434</v>
      </c>
      <c r="O43" s="83">
        <f t="shared" si="15"/>
        <v>-19443.694767785008</v>
      </c>
      <c r="P43" s="83">
        <f t="shared" si="15"/>
        <v>-21062.060710263191</v>
      </c>
      <c r="Q43" s="83">
        <f t="shared" si="15"/>
        <v>-22275.835167121826</v>
      </c>
      <c r="R43" s="83">
        <f t="shared" si="15"/>
        <v>-23186.166009765802</v>
      </c>
      <c r="S43" s="83">
        <f t="shared" si="15"/>
        <v>-23868.914141748784</v>
      </c>
      <c r="T43" s="83">
        <f t="shared" si="15"/>
        <v>-24380.975240736021</v>
      </c>
      <c r="U43" s="83">
        <f t="shared" si="15"/>
        <v>-24765.021064976449</v>
      </c>
      <c r="V43" s="83">
        <f t="shared" si="15"/>
        <v>-25053.055433156769</v>
      </c>
      <c r="W43" s="83">
        <f t="shared" si="15"/>
        <v>-25269.08120929201</v>
      </c>
      <c r="X43" s="83">
        <f t="shared" si="15"/>
        <v>-25269.08120929201</v>
      </c>
      <c r="Y43" s="83">
        <f t="shared" si="15"/>
        <v>-25269.08120929201</v>
      </c>
      <c r="Z43" s="84">
        <f t="shared" si="15"/>
        <v>-25269.08120929201</v>
      </c>
      <c r="AA43" s="137" t="s">
        <v>151</v>
      </c>
      <c r="AB43" s="25">
        <f>SUM(C43:Z43)</f>
        <v>-332837.16746253869</v>
      </c>
      <c r="AC43" s="3">
        <f t="shared" si="6"/>
        <v>-16.641858373126936</v>
      </c>
    </row>
    <row r="44" spans="2:29">
      <c r="B44" s="85" t="s">
        <v>110</v>
      </c>
      <c r="C44" s="86">
        <f>SUM(C28:C32)+SUM(C34:C43)</f>
        <v>0</v>
      </c>
      <c r="D44" s="86">
        <f>SUM(D28:D32)+SUM(D34:D43)</f>
        <v>0</v>
      </c>
      <c r="E44" s="86">
        <f>SUM(E28:E32)+SUM(E34:E43)</f>
        <v>0</v>
      </c>
      <c r="F44" s="86">
        <f>SUM(F28:F32)+SUM(F34:F43)</f>
        <v>-2.3646862246096134E-11</v>
      </c>
      <c r="G44" s="86">
        <f>SUM(G28:G43)</f>
        <v>41592.737713488641</v>
      </c>
      <c r="H44" s="86">
        <f t="shared" ref="H44:Y44" si="16">SUM(H28:H43)</f>
        <v>43413.283678488639</v>
      </c>
      <c r="I44" s="86">
        <f t="shared" si="16"/>
        <v>45233.829643488636</v>
      </c>
      <c r="J44" s="86">
        <f t="shared" si="16"/>
        <v>47054.375608488641</v>
      </c>
      <c r="K44" s="86">
        <f t="shared" si="16"/>
        <v>43417.105320947157</v>
      </c>
      <c r="L44" s="86">
        <f t="shared" si="16"/>
        <v>40122.815714658092</v>
      </c>
      <c r="M44" s="86">
        <f t="shared" si="16"/>
        <v>38107.235001191293</v>
      </c>
      <c r="N44" s="86">
        <f t="shared" si="16"/>
        <v>37050.685957341193</v>
      </c>
      <c r="O44" s="86">
        <f t="shared" si="16"/>
        <v>36713.410665703617</v>
      </c>
      <c r="P44" s="86">
        <f t="shared" si="16"/>
        <v>36915.590688225442</v>
      </c>
      <c r="Q44" s="86">
        <f t="shared" si="16"/>
        <v>37522.362196366805</v>
      </c>
      <c r="R44" s="86">
        <f t="shared" si="16"/>
        <v>38432.577318722833</v>
      </c>
      <c r="S44" s="86">
        <f t="shared" si="16"/>
        <v>39570.375151739849</v>
      </c>
      <c r="T44" s="86">
        <f t="shared" si="16"/>
        <v>40878.86001775261</v>
      </c>
      <c r="U44" s="86">
        <f t="shared" si="16"/>
        <v>42315.36015851218</v>
      </c>
      <c r="V44" s="86">
        <f t="shared" si="16"/>
        <v>104532.73725533187</v>
      </c>
      <c r="W44" s="86">
        <f t="shared" si="16"/>
        <v>104316.71147919663</v>
      </c>
      <c r="X44" s="86">
        <f t="shared" si="16"/>
        <v>104316.71147919663</v>
      </c>
      <c r="Y44" s="86">
        <f t="shared" si="16"/>
        <v>104316.71147919663</v>
      </c>
      <c r="Z44" s="87">
        <f>SUM(Z28:Z43)</f>
        <v>104316.71147919663</v>
      </c>
      <c r="AA44" s="22" t="s">
        <v>111</v>
      </c>
      <c r="AB44" s="25">
        <f>SUM(C44:Z44)</f>
        <v>1130140.1880072341</v>
      </c>
      <c r="AC44" s="3">
        <f t="shared" si="6"/>
        <v>56.50700940036171</v>
      </c>
    </row>
    <row r="45" spans="2:29">
      <c r="B45" s="4" t="s">
        <v>112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9"/>
      <c r="AA45" s="61"/>
      <c r="AB45" s="22"/>
    </row>
    <row r="46" spans="2:29">
      <c r="B46" s="8" t="s">
        <v>113</v>
      </c>
      <c r="C46" s="13">
        <f>-(C31+C32)</f>
        <v>193984.875</v>
      </c>
      <c r="D46" s="13">
        <f>C46-(D31+D32)</f>
        <v>581954.625</v>
      </c>
      <c r="E46" s="13">
        <f>D46-(E31+E32)</f>
        <v>1099247.625</v>
      </c>
      <c r="F46" s="13">
        <f>E46-(F31+F32)</f>
        <v>1293232.5</v>
      </c>
      <c r="G46" s="13">
        <f>IF(F46+G52&gt;0, F46+G52,0)</f>
        <v>1207017</v>
      </c>
      <c r="H46" s="13">
        <f t="shared" ref="H46:Z46" si="17">IF(G46+H52&gt;0, G46+H52,0)</f>
        <v>1120801.5</v>
      </c>
      <c r="I46" s="13">
        <f t="shared" si="17"/>
        <v>1034586</v>
      </c>
      <c r="J46" s="13">
        <f t="shared" si="17"/>
        <v>948370.5</v>
      </c>
      <c r="K46" s="13">
        <f t="shared" si="17"/>
        <v>862155</v>
      </c>
      <c r="L46" s="13">
        <f t="shared" si="17"/>
        <v>775939.5</v>
      </c>
      <c r="M46" s="13">
        <f t="shared" si="17"/>
        <v>689724</v>
      </c>
      <c r="N46" s="13">
        <f t="shared" si="17"/>
        <v>603508.5</v>
      </c>
      <c r="O46" s="13">
        <f t="shared" si="17"/>
        <v>517293</v>
      </c>
      <c r="P46" s="13">
        <f t="shared" si="17"/>
        <v>431077.5</v>
      </c>
      <c r="Q46" s="13">
        <f t="shared" si="17"/>
        <v>344862</v>
      </c>
      <c r="R46" s="13">
        <f t="shared" si="17"/>
        <v>258646.5</v>
      </c>
      <c r="S46" s="13">
        <f t="shared" si="17"/>
        <v>172431</v>
      </c>
      <c r="T46" s="13">
        <f t="shared" si="17"/>
        <v>86215.5</v>
      </c>
      <c r="U46" s="13">
        <f t="shared" si="17"/>
        <v>0</v>
      </c>
      <c r="V46" s="13">
        <f t="shared" si="17"/>
        <v>0</v>
      </c>
      <c r="W46" s="13">
        <f t="shared" si="17"/>
        <v>0</v>
      </c>
      <c r="X46" s="13">
        <f t="shared" si="17"/>
        <v>0</v>
      </c>
      <c r="Y46" s="13">
        <f t="shared" si="17"/>
        <v>0</v>
      </c>
      <c r="Z46" s="18">
        <f t="shared" si="17"/>
        <v>0</v>
      </c>
    </row>
    <row r="47" spans="2:29">
      <c r="B47" s="8" t="s">
        <v>114</v>
      </c>
      <c r="C47" s="13">
        <f>C44</f>
        <v>0</v>
      </c>
      <c r="D47" s="13">
        <f t="shared" ref="D47:Z47" si="18">C47+D44</f>
        <v>0</v>
      </c>
      <c r="E47" s="13">
        <f t="shared" si="18"/>
        <v>0</v>
      </c>
      <c r="F47" s="13">
        <f t="shared" si="18"/>
        <v>-2.3646862246096134E-11</v>
      </c>
      <c r="G47" s="13">
        <f t="shared" si="18"/>
        <v>41592.737713488619</v>
      </c>
      <c r="H47" s="13">
        <f t="shared" si="18"/>
        <v>85006.021391977265</v>
      </c>
      <c r="I47" s="13">
        <f t="shared" si="18"/>
        <v>130239.85103546589</v>
      </c>
      <c r="J47" s="13">
        <f t="shared" si="18"/>
        <v>177294.22664395452</v>
      </c>
      <c r="K47" s="13">
        <f t="shared" si="18"/>
        <v>220711.33196490168</v>
      </c>
      <c r="L47" s="13">
        <f t="shared" si="18"/>
        <v>260834.14767955977</v>
      </c>
      <c r="M47" s="13">
        <f t="shared" si="18"/>
        <v>298941.38268075103</v>
      </c>
      <c r="N47" s="13">
        <f t="shared" si="18"/>
        <v>335992.06863809226</v>
      </c>
      <c r="O47" s="13">
        <f t="shared" si="18"/>
        <v>372705.47930379584</v>
      </c>
      <c r="P47" s="13">
        <f t="shared" si="18"/>
        <v>409621.06999202131</v>
      </c>
      <c r="Q47" s="13">
        <f t="shared" si="18"/>
        <v>447143.43218838813</v>
      </c>
      <c r="R47" s="13">
        <f t="shared" si="18"/>
        <v>485576.00950711098</v>
      </c>
      <c r="S47" s="13">
        <f t="shared" si="18"/>
        <v>525146.38465885085</v>
      </c>
      <c r="T47" s="13">
        <f t="shared" si="18"/>
        <v>566025.24467660347</v>
      </c>
      <c r="U47" s="13">
        <f t="shared" si="18"/>
        <v>608340.60483511561</v>
      </c>
      <c r="V47" s="13">
        <f t="shared" si="18"/>
        <v>712873.34209044743</v>
      </c>
      <c r="W47" s="13">
        <f t="shared" si="18"/>
        <v>817190.05356964411</v>
      </c>
      <c r="X47" s="13">
        <f t="shared" si="18"/>
        <v>921506.76504884078</v>
      </c>
      <c r="Y47" s="13">
        <f t="shared" si="18"/>
        <v>1025823.4765280375</v>
      </c>
      <c r="Z47" s="107">
        <f t="shared" si="18"/>
        <v>1130140.1880072341</v>
      </c>
    </row>
    <row r="48" spans="2:29">
      <c r="B48" s="8" t="s">
        <v>115</v>
      </c>
      <c r="C48" s="13">
        <f>C29</f>
        <v>135789.41250000001</v>
      </c>
      <c r="D48" s="13">
        <f>C48+D29</f>
        <v>407368.23750000005</v>
      </c>
      <c r="E48" s="13">
        <f>D48+E29</f>
        <v>769473.33750000002</v>
      </c>
      <c r="F48" s="13">
        <f>E48+F29</f>
        <v>910272.98250000004</v>
      </c>
      <c r="G48" s="13">
        <f t="shared" ref="G48:Z48" si="19">IF(F48-$F$48/$G$9&gt;0,F48-$F$48/$G$9,0)</f>
        <v>849588.11700000009</v>
      </c>
      <c r="H48" s="13">
        <f t="shared" si="19"/>
        <v>788903.25150000013</v>
      </c>
      <c r="I48" s="13">
        <f t="shared" si="19"/>
        <v>728218.38600000017</v>
      </c>
      <c r="J48" s="13">
        <f t="shared" si="19"/>
        <v>667533.52050000022</v>
      </c>
      <c r="K48" s="13">
        <f t="shared" si="19"/>
        <v>606848.65500000026</v>
      </c>
      <c r="L48" s="13">
        <f t="shared" si="19"/>
        <v>546163.7895000003</v>
      </c>
      <c r="M48" s="13">
        <f t="shared" si="19"/>
        <v>485478.92400000029</v>
      </c>
      <c r="N48" s="13">
        <f t="shared" si="19"/>
        <v>424794.05850000028</v>
      </c>
      <c r="O48" s="13">
        <f t="shared" si="19"/>
        <v>364109.19300000026</v>
      </c>
      <c r="P48" s="13">
        <f t="shared" si="19"/>
        <v>303424.32750000025</v>
      </c>
      <c r="Q48" s="13">
        <f t="shared" si="19"/>
        <v>242739.46200000023</v>
      </c>
      <c r="R48" s="13">
        <f t="shared" si="19"/>
        <v>182054.59650000022</v>
      </c>
      <c r="S48" s="13">
        <f t="shared" si="19"/>
        <v>121369.73100000022</v>
      </c>
      <c r="T48" s="13">
        <f t="shared" si="19"/>
        <v>60684.865500000218</v>
      </c>
      <c r="U48" s="13">
        <f t="shared" si="19"/>
        <v>2.1827872842550278E-10</v>
      </c>
      <c r="V48" s="13">
        <f t="shared" si="19"/>
        <v>0</v>
      </c>
      <c r="W48" s="13">
        <f t="shared" si="19"/>
        <v>0</v>
      </c>
      <c r="X48" s="13">
        <f t="shared" si="19"/>
        <v>0</v>
      </c>
      <c r="Y48" s="13">
        <f t="shared" si="19"/>
        <v>0</v>
      </c>
      <c r="Z48" s="18">
        <f t="shared" si="19"/>
        <v>0</v>
      </c>
    </row>
    <row r="49" spans="2:29">
      <c r="B49" s="8" t="s">
        <v>68</v>
      </c>
      <c r="C49" s="13">
        <f>C30+C63</f>
        <v>58195.462500000001</v>
      </c>
      <c r="D49" s="13">
        <f>C49+D30+D63</f>
        <v>174586.38750000001</v>
      </c>
      <c r="E49" s="13">
        <f>D49+E30+E63</f>
        <v>329774.28749999998</v>
      </c>
      <c r="F49" s="13">
        <f>E49+F30+F63</f>
        <v>382959.51750000002</v>
      </c>
      <c r="G49" s="10">
        <f t="shared" ref="G49:Z49" si="20">F49+G63</f>
        <v>395809.20007079089</v>
      </c>
      <c r="H49" s="10">
        <f t="shared" si="20"/>
        <v>410115.3194135818</v>
      </c>
      <c r="I49" s="10">
        <f t="shared" si="20"/>
        <v>425877.87552837271</v>
      </c>
      <c r="J49" s="10">
        <f t="shared" si="20"/>
        <v>443096.8684151636</v>
      </c>
      <c r="K49" s="10">
        <f t="shared" si="20"/>
        <v>461772.29807395447</v>
      </c>
      <c r="L49" s="10">
        <f t="shared" si="20"/>
        <v>481904.16450474533</v>
      </c>
      <c r="M49" s="10">
        <f t="shared" si="20"/>
        <v>503492.46770753624</v>
      </c>
      <c r="N49" s="10">
        <f t="shared" si="20"/>
        <v>526537.20768232713</v>
      </c>
      <c r="O49" s="10">
        <f t="shared" si="20"/>
        <v>551038.38442911801</v>
      </c>
      <c r="P49" s="10">
        <f t="shared" si="20"/>
        <v>576995.99794790894</v>
      </c>
      <c r="Q49" s="10">
        <f t="shared" si="20"/>
        <v>604410.04823869979</v>
      </c>
      <c r="R49" s="10">
        <f t="shared" si="20"/>
        <v>633280.53530149069</v>
      </c>
      <c r="S49" s="10">
        <f t="shared" si="20"/>
        <v>663607.45913628163</v>
      </c>
      <c r="T49" s="10">
        <f t="shared" si="20"/>
        <v>695390.8197430725</v>
      </c>
      <c r="U49" s="10">
        <f t="shared" si="20"/>
        <v>728630.61712186341</v>
      </c>
      <c r="V49" s="10">
        <f t="shared" si="20"/>
        <v>832299.25127265428</v>
      </c>
      <c r="W49" s="10">
        <f t="shared" si="20"/>
        <v>935967.88542344514</v>
      </c>
      <c r="X49" s="10">
        <f t="shared" si="20"/>
        <v>1039636.519574236</v>
      </c>
      <c r="Y49" s="10">
        <f t="shared" si="20"/>
        <v>1143305.1537250269</v>
      </c>
      <c r="Z49" s="12">
        <f t="shared" si="20"/>
        <v>1246973.7878758179</v>
      </c>
    </row>
    <row r="50" spans="2:29">
      <c r="B50" s="4" t="s">
        <v>116</v>
      </c>
      <c r="C50" s="57"/>
      <c r="D50" s="57"/>
      <c r="E50" s="57"/>
      <c r="F50" s="57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108"/>
    </row>
    <row r="51" spans="2:29">
      <c r="B51" s="8" t="s">
        <v>96</v>
      </c>
      <c r="C51" s="9"/>
      <c r="D51" s="9"/>
      <c r="E51" s="9"/>
      <c r="F51" s="9"/>
      <c r="G51" s="10">
        <f t="shared" ref="G51:Z51" si="21">G28</f>
        <v>341000</v>
      </c>
      <c r="H51" s="10">
        <f t="shared" si="21"/>
        <v>341000</v>
      </c>
      <c r="I51" s="10">
        <f t="shared" si="21"/>
        <v>341000</v>
      </c>
      <c r="J51" s="10">
        <f t="shared" si="21"/>
        <v>341000</v>
      </c>
      <c r="K51" s="10">
        <f t="shared" si="21"/>
        <v>341000</v>
      </c>
      <c r="L51" s="10">
        <f t="shared" si="21"/>
        <v>341000</v>
      </c>
      <c r="M51" s="10">
        <f t="shared" si="21"/>
        <v>341000</v>
      </c>
      <c r="N51" s="10">
        <f t="shared" si="21"/>
        <v>341000</v>
      </c>
      <c r="O51" s="10">
        <f t="shared" si="21"/>
        <v>341000</v>
      </c>
      <c r="P51" s="10">
        <f t="shared" si="21"/>
        <v>341000</v>
      </c>
      <c r="Q51" s="10">
        <f t="shared" si="21"/>
        <v>341000</v>
      </c>
      <c r="R51" s="10">
        <f t="shared" si="21"/>
        <v>341000</v>
      </c>
      <c r="S51" s="10">
        <f t="shared" si="21"/>
        <v>341000</v>
      </c>
      <c r="T51" s="10">
        <f t="shared" si="21"/>
        <v>341000</v>
      </c>
      <c r="U51" s="10">
        <f t="shared" si="21"/>
        <v>341000</v>
      </c>
      <c r="V51" s="10">
        <f t="shared" si="21"/>
        <v>341000</v>
      </c>
      <c r="W51" s="10">
        <f t="shared" si="21"/>
        <v>341000</v>
      </c>
      <c r="X51" s="10">
        <f t="shared" si="21"/>
        <v>341000</v>
      </c>
      <c r="Y51" s="10">
        <f t="shared" si="21"/>
        <v>341000</v>
      </c>
      <c r="Z51" s="12">
        <f t="shared" si="21"/>
        <v>341000</v>
      </c>
    </row>
    <row r="52" spans="2:29">
      <c r="B52" s="8" t="s">
        <v>117</v>
      </c>
      <c r="C52" s="9"/>
      <c r="D52" s="9"/>
      <c r="E52" s="9"/>
      <c r="F52" s="9"/>
      <c r="G52" s="13">
        <f>-(C4+C10)/G10</f>
        <v>-86215.5</v>
      </c>
      <c r="H52" s="10">
        <f t="shared" ref="H52:Z52" si="22">IF(H23&gt;0,G52,0)</f>
        <v>-86215.5</v>
      </c>
      <c r="I52" s="10">
        <f t="shared" si="22"/>
        <v>-86215.5</v>
      </c>
      <c r="J52" s="10">
        <f t="shared" si="22"/>
        <v>-86215.5</v>
      </c>
      <c r="K52" s="10">
        <f t="shared" si="22"/>
        <v>-86215.5</v>
      </c>
      <c r="L52" s="10">
        <f t="shared" si="22"/>
        <v>-86215.5</v>
      </c>
      <c r="M52" s="10">
        <f t="shared" si="22"/>
        <v>-86215.5</v>
      </c>
      <c r="N52" s="10">
        <f t="shared" si="22"/>
        <v>-86215.5</v>
      </c>
      <c r="O52" s="10">
        <f t="shared" si="22"/>
        <v>-86215.5</v>
      </c>
      <c r="P52" s="10">
        <f t="shared" si="22"/>
        <v>-86215.5</v>
      </c>
      <c r="Q52" s="10">
        <f t="shared" si="22"/>
        <v>-86215.5</v>
      </c>
      <c r="R52" s="10">
        <f t="shared" si="22"/>
        <v>-86215.5</v>
      </c>
      <c r="S52" s="10">
        <f t="shared" si="22"/>
        <v>-86215.5</v>
      </c>
      <c r="T52" s="10">
        <f t="shared" si="22"/>
        <v>-86215.5</v>
      </c>
      <c r="U52" s="10">
        <f t="shared" si="22"/>
        <v>-86215.5</v>
      </c>
      <c r="V52" s="10">
        <f t="shared" si="22"/>
        <v>0</v>
      </c>
      <c r="W52" s="10">
        <f t="shared" si="22"/>
        <v>0</v>
      </c>
      <c r="X52" s="10">
        <f t="shared" si="22"/>
        <v>0</v>
      </c>
      <c r="Y52" s="10">
        <f t="shared" si="22"/>
        <v>0</v>
      </c>
      <c r="Z52" s="90">
        <f t="shared" si="22"/>
        <v>0</v>
      </c>
      <c r="AA52" s="136" t="s">
        <v>152</v>
      </c>
      <c r="AB52" s="25">
        <f>SUM(C52:Z52)</f>
        <v>-1293232.5</v>
      </c>
      <c r="AC52" s="3">
        <f>AB52/($C$12*$G$8)</f>
        <v>-64.661625000000001</v>
      </c>
    </row>
    <row r="53" spans="2:29">
      <c r="B53" s="8" t="s">
        <v>102</v>
      </c>
      <c r="C53" s="9"/>
      <c r="D53" s="9"/>
      <c r="E53" s="9"/>
      <c r="F53" s="10">
        <f t="shared" ref="F53:Z53" si="23">F34</f>
        <v>-2949.9999999999995</v>
      </c>
      <c r="G53" s="10">
        <f t="shared" si="23"/>
        <v>-5899.9999999999991</v>
      </c>
      <c r="H53" s="10">
        <f t="shared" si="23"/>
        <v>-5899.9999999999991</v>
      </c>
      <c r="I53" s="10">
        <f t="shared" si="23"/>
        <v>-5899.9999999999991</v>
      </c>
      <c r="J53" s="10">
        <f t="shared" si="23"/>
        <v>-5899.9999999999991</v>
      </c>
      <c r="K53" s="10">
        <f t="shared" si="23"/>
        <v>-5899.9999999999991</v>
      </c>
      <c r="L53" s="10">
        <f t="shared" si="23"/>
        <v>-5899.9999999999991</v>
      </c>
      <c r="M53" s="10">
        <f t="shared" si="23"/>
        <v>-5899.9999999999991</v>
      </c>
      <c r="N53" s="10">
        <f t="shared" si="23"/>
        <v>-5899.9999999999991</v>
      </c>
      <c r="O53" s="10">
        <f t="shared" si="23"/>
        <v>-5899.9999999999991</v>
      </c>
      <c r="P53" s="10">
        <f t="shared" si="23"/>
        <v>-5899.9999999999991</v>
      </c>
      <c r="Q53" s="10">
        <f t="shared" si="23"/>
        <v>-5899.9999999999991</v>
      </c>
      <c r="R53" s="10">
        <f t="shared" si="23"/>
        <v>-5899.9999999999991</v>
      </c>
      <c r="S53" s="10">
        <f t="shared" si="23"/>
        <v>-5899.9999999999991</v>
      </c>
      <c r="T53" s="10">
        <f t="shared" si="23"/>
        <v>-5899.9999999999991</v>
      </c>
      <c r="U53" s="10">
        <f t="shared" si="23"/>
        <v>-5899.9999999999991</v>
      </c>
      <c r="V53" s="10">
        <f t="shared" si="23"/>
        <v>-5899.9999999999991</v>
      </c>
      <c r="W53" s="10">
        <f t="shared" si="23"/>
        <v>-5899.9999999999991</v>
      </c>
      <c r="X53" s="10">
        <f t="shared" si="23"/>
        <v>-5899.9999999999991</v>
      </c>
      <c r="Y53" s="10">
        <f t="shared" si="23"/>
        <v>-5899.9999999999991</v>
      </c>
      <c r="Z53" s="12">
        <f t="shared" si="23"/>
        <v>-5899.9999999999991</v>
      </c>
    </row>
    <row r="54" spans="2:29">
      <c r="B54" s="8" t="s">
        <v>103</v>
      </c>
      <c r="C54" s="9"/>
      <c r="D54" s="9"/>
      <c r="E54" s="9"/>
      <c r="F54" s="10">
        <f t="shared" ref="F54:Z54" si="24">F35</f>
        <v>-4207.4750000000013</v>
      </c>
      <c r="G54" s="10">
        <f t="shared" si="24"/>
        <v>-8414.9500000000025</v>
      </c>
      <c r="H54" s="10">
        <f t="shared" si="24"/>
        <v>-8414.9500000000025</v>
      </c>
      <c r="I54" s="10">
        <f t="shared" si="24"/>
        <v>-8414.9500000000025</v>
      </c>
      <c r="J54" s="10">
        <f t="shared" si="24"/>
        <v>-8414.9500000000025</v>
      </c>
      <c r="K54" s="10">
        <f t="shared" si="24"/>
        <v>-8414.9500000000025</v>
      </c>
      <c r="L54" s="10">
        <f t="shared" si="24"/>
        <v>-8414.9500000000025</v>
      </c>
      <c r="M54" s="10">
        <f t="shared" si="24"/>
        <v>-8414.9500000000025</v>
      </c>
      <c r="N54" s="10">
        <f t="shared" si="24"/>
        <v>-8414.9500000000025</v>
      </c>
      <c r="O54" s="10">
        <f t="shared" si="24"/>
        <v>-8414.9500000000025</v>
      </c>
      <c r="P54" s="10">
        <f t="shared" si="24"/>
        <v>-8414.9500000000025</v>
      </c>
      <c r="Q54" s="10">
        <f t="shared" si="24"/>
        <v>-8414.9500000000025</v>
      </c>
      <c r="R54" s="10">
        <f t="shared" si="24"/>
        <v>-8414.9500000000025</v>
      </c>
      <c r="S54" s="10">
        <f t="shared" si="24"/>
        <v>-8414.9500000000025</v>
      </c>
      <c r="T54" s="10">
        <f t="shared" si="24"/>
        <v>-8414.9500000000025</v>
      </c>
      <c r="U54" s="10">
        <f t="shared" si="24"/>
        <v>-8414.9500000000025</v>
      </c>
      <c r="V54" s="10">
        <f t="shared" si="24"/>
        <v>-8414.9500000000025</v>
      </c>
      <c r="W54" s="10">
        <f t="shared" si="24"/>
        <v>-8414.9500000000025</v>
      </c>
      <c r="X54" s="10">
        <f t="shared" si="24"/>
        <v>-8414.9500000000025</v>
      </c>
      <c r="Y54" s="10">
        <f t="shared" si="24"/>
        <v>-8414.9500000000025</v>
      </c>
      <c r="Z54" s="12">
        <f t="shared" si="24"/>
        <v>-8414.9500000000025</v>
      </c>
    </row>
    <row r="55" spans="2:29">
      <c r="B55" s="8" t="s">
        <v>104</v>
      </c>
      <c r="C55" s="9"/>
      <c r="D55" s="9"/>
      <c r="E55" s="9"/>
      <c r="F55" s="10"/>
      <c r="G55" s="10">
        <f t="shared" ref="G55:Z55" si="25">G36</f>
        <v>-18474.75</v>
      </c>
      <c r="H55" s="10">
        <f t="shared" si="25"/>
        <v>-18474.75</v>
      </c>
      <c r="I55" s="10">
        <f t="shared" si="25"/>
        <v>-18474.75</v>
      </c>
      <c r="J55" s="10">
        <f t="shared" si="25"/>
        <v>-18474.75</v>
      </c>
      <c r="K55" s="10">
        <f t="shared" si="25"/>
        <v>-18474.75</v>
      </c>
      <c r="L55" s="10">
        <f t="shared" si="25"/>
        <v>-18474.75</v>
      </c>
      <c r="M55" s="10">
        <f t="shared" si="25"/>
        <v>-18474.75</v>
      </c>
      <c r="N55" s="10">
        <f t="shared" si="25"/>
        <v>-18474.75</v>
      </c>
      <c r="O55" s="10">
        <f t="shared" si="25"/>
        <v>-18474.75</v>
      </c>
      <c r="P55" s="10">
        <f t="shared" si="25"/>
        <v>-18474.75</v>
      </c>
      <c r="Q55" s="10">
        <f t="shared" si="25"/>
        <v>-18474.75</v>
      </c>
      <c r="R55" s="10">
        <f t="shared" si="25"/>
        <v>-18474.75</v>
      </c>
      <c r="S55" s="10">
        <f t="shared" si="25"/>
        <v>-18474.75</v>
      </c>
      <c r="T55" s="10">
        <f t="shared" si="25"/>
        <v>-18474.75</v>
      </c>
      <c r="U55" s="10">
        <f t="shared" si="25"/>
        <v>-18474.75</v>
      </c>
      <c r="V55" s="10">
        <f t="shared" si="25"/>
        <v>-18474.75</v>
      </c>
      <c r="W55" s="10">
        <f t="shared" si="25"/>
        <v>-18474.75</v>
      </c>
      <c r="X55" s="10">
        <f t="shared" si="25"/>
        <v>-18474.75</v>
      </c>
      <c r="Y55" s="10">
        <f t="shared" si="25"/>
        <v>-18474.75</v>
      </c>
      <c r="Z55" s="12">
        <f t="shared" si="25"/>
        <v>-18474.75</v>
      </c>
    </row>
    <row r="56" spans="2:29">
      <c r="B56" s="8" t="s">
        <v>118</v>
      </c>
      <c r="C56" s="9"/>
      <c r="D56" s="9"/>
      <c r="E56" s="9"/>
      <c r="F56" s="10"/>
      <c r="G56" s="10">
        <f t="shared" ref="G56:Z56" si="26">G37</f>
        <v>-9658.2499999999982</v>
      </c>
      <c r="H56" s="10">
        <f t="shared" si="26"/>
        <v>-9658.2499999999982</v>
      </c>
      <c r="I56" s="10">
        <f t="shared" si="26"/>
        <v>-9658.2499999999982</v>
      </c>
      <c r="J56" s="10">
        <f t="shared" si="26"/>
        <v>-9658.2499999999982</v>
      </c>
      <c r="K56" s="10">
        <f t="shared" si="26"/>
        <v>-9658.2499999999982</v>
      </c>
      <c r="L56" s="10">
        <f t="shared" si="26"/>
        <v>-9658.2499999999982</v>
      </c>
      <c r="M56" s="10">
        <f t="shared" si="26"/>
        <v>-9658.2499999999982</v>
      </c>
      <c r="N56" s="10">
        <f t="shared" si="26"/>
        <v>-9658.2499999999982</v>
      </c>
      <c r="O56" s="10">
        <f t="shared" si="26"/>
        <v>-9658.2499999999982</v>
      </c>
      <c r="P56" s="10">
        <f t="shared" si="26"/>
        <v>-9658.2499999999982</v>
      </c>
      <c r="Q56" s="10">
        <f t="shared" si="26"/>
        <v>-9658.2499999999982</v>
      </c>
      <c r="R56" s="10">
        <f t="shared" si="26"/>
        <v>-9658.2499999999982</v>
      </c>
      <c r="S56" s="10">
        <f t="shared" si="26"/>
        <v>-9658.2499999999982</v>
      </c>
      <c r="T56" s="10">
        <f t="shared" si="26"/>
        <v>-9658.2499999999982</v>
      </c>
      <c r="U56" s="10">
        <f t="shared" si="26"/>
        <v>-9658.2499999999982</v>
      </c>
      <c r="V56" s="10">
        <f t="shared" si="26"/>
        <v>-9658.2499999999982</v>
      </c>
      <c r="W56" s="10">
        <f t="shared" si="26"/>
        <v>-9658.2499999999982</v>
      </c>
      <c r="X56" s="10">
        <f t="shared" si="26"/>
        <v>-9658.2499999999982</v>
      </c>
      <c r="Y56" s="10">
        <f t="shared" si="26"/>
        <v>-9658.2499999999982</v>
      </c>
      <c r="Z56" s="12">
        <f t="shared" si="26"/>
        <v>-9658.2499999999982</v>
      </c>
    </row>
    <row r="57" spans="2:29" ht="15.75">
      <c r="B57" s="34" t="s">
        <v>106</v>
      </c>
      <c r="C57" s="9"/>
      <c r="D57" s="9"/>
      <c r="E57" s="9"/>
      <c r="F57" s="10"/>
      <c r="G57" s="10">
        <f t="shared" ref="G57:Z57" si="27">G38</f>
        <v>-107165.23869346736</v>
      </c>
      <c r="H57" s="10">
        <f t="shared" si="27"/>
        <v>-107165.23869346736</v>
      </c>
      <c r="I57" s="10">
        <f t="shared" si="27"/>
        <v>-107165.23869346736</v>
      </c>
      <c r="J57" s="10">
        <f t="shared" si="27"/>
        <v>-107165.23869346736</v>
      </c>
      <c r="K57" s="10">
        <f t="shared" si="27"/>
        <v>-107165.23869346736</v>
      </c>
      <c r="L57" s="10">
        <f t="shared" si="27"/>
        <v>-107165.23869346736</v>
      </c>
      <c r="M57" s="10">
        <f t="shared" si="27"/>
        <v>-107165.23869346736</v>
      </c>
      <c r="N57" s="10">
        <f t="shared" si="27"/>
        <v>-107165.23869346736</v>
      </c>
      <c r="O57" s="10">
        <f t="shared" si="27"/>
        <v>-107165.23869346736</v>
      </c>
      <c r="P57" s="10">
        <f t="shared" si="27"/>
        <v>-107165.23869346736</v>
      </c>
      <c r="Q57" s="10">
        <f t="shared" si="27"/>
        <v>-107165.23869346736</v>
      </c>
      <c r="R57" s="10">
        <f t="shared" si="27"/>
        <v>-107165.23869346736</v>
      </c>
      <c r="S57" s="10">
        <f t="shared" si="27"/>
        <v>-107165.23869346736</v>
      </c>
      <c r="T57" s="10">
        <f t="shared" si="27"/>
        <v>-107165.23869346736</v>
      </c>
      <c r="U57" s="10">
        <f t="shared" si="27"/>
        <v>-107165.23869346736</v>
      </c>
      <c r="V57" s="10">
        <f t="shared" si="27"/>
        <v>-107165.23869346736</v>
      </c>
      <c r="W57" s="10">
        <f t="shared" si="27"/>
        <v>-107165.23869346736</v>
      </c>
      <c r="X57" s="10">
        <f t="shared" si="27"/>
        <v>-107165.23869346736</v>
      </c>
      <c r="Y57" s="10">
        <f t="shared" si="27"/>
        <v>-107165.23869346736</v>
      </c>
      <c r="Z57" s="12">
        <f t="shared" si="27"/>
        <v>-107165.23869346736</v>
      </c>
    </row>
    <row r="58" spans="2:29">
      <c r="B58" s="8" t="s">
        <v>107</v>
      </c>
      <c r="C58" s="9"/>
      <c r="D58" s="9"/>
      <c r="E58" s="9"/>
      <c r="F58" s="10"/>
      <c r="G58" s="10">
        <f t="shared" ref="G58:Z58" si="28">G39</f>
        <v>-61801.018618044014</v>
      </c>
      <c r="H58" s="10">
        <f t="shared" si="28"/>
        <v>-61801.018618044014</v>
      </c>
      <c r="I58" s="10">
        <f t="shared" si="28"/>
        <v>-61801.018618044014</v>
      </c>
      <c r="J58" s="10">
        <f t="shared" si="28"/>
        <v>-61801.018618044014</v>
      </c>
      <c r="K58" s="10">
        <f t="shared" si="28"/>
        <v>-61801.018618044014</v>
      </c>
      <c r="L58" s="10">
        <f t="shared" si="28"/>
        <v>-61801.018618044014</v>
      </c>
      <c r="M58" s="10">
        <f t="shared" si="28"/>
        <v>-61801.018618044014</v>
      </c>
      <c r="N58" s="10">
        <f t="shared" si="28"/>
        <v>-61801.018618044014</v>
      </c>
      <c r="O58" s="10">
        <f t="shared" si="28"/>
        <v>-61801.018618044014</v>
      </c>
      <c r="P58" s="10">
        <f t="shared" si="28"/>
        <v>-61801.018618044014</v>
      </c>
      <c r="Q58" s="10">
        <f t="shared" si="28"/>
        <v>-61801.018618044014</v>
      </c>
      <c r="R58" s="10">
        <f t="shared" si="28"/>
        <v>-61801.018618044014</v>
      </c>
      <c r="S58" s="10">
        <f t="shared" si="28"/>
        <v>-61801.018618044014</v>
      </c>
      <c r="T58" s="10">
        <f t="shared" si="28"/>
        <v>-61801.018618044014</v>
      </c>
      <c r="U58" s="10">
        <f t="shared" si="28"/>
        <v>-61801.018618044014</v>
      </c>
      <c r="V58" s="10">
        <f t="shared" si="28"/>
        <v>-61801.018618044014</v>
      </c>
      <c r="W58" s="10">
        <f t="shared" si="28"/>
        <v>-61801.018618044014</v>
      </c>
      <c r="X58" s="10">
        <f t="shared" si="28"/>
        <v>-61801.018618044014</v>
      </c>
      <c r="Y58" s="10">
        <f t="shared" si="28"/>
        <v>-61801.018618044014</v>
      </c>
      <c r="Z58" s="12">
        <f t="shared" si="28"/>
        <v>-61801.018618044014</v>
      </c>
    </row>
    <row r="59" spans="2:29">
      <c r="B59" s="46"/>
      <c r="C59" s="47"/>
      <c r="D59" s="47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109"/>
    </row>
    <row r="60" spans="2:29">
      <c r="B60" s="8" t="s">
        <v>109</v>
      </c>
      <c r="C60" s="10">
        <f t="shared" ref="C60:Z60" si="29">C42</f>
        <v>0</v>
      </c>
      <c r="D60" s="10">
        <f t="shared" si="29"/>
        <v>0</v>
      </c>
      <c r="E60" s="10">
        <f t="shared" si="29"/>
        <v>0</v>
      </c>
      <c r="F60" s="10">
        <f t="shared" si="29"/>
        <v>0</v>
      </c>
      <c r="G60" s="10">
        <f t="shared" si="29"/>
        <v>-27308.189474999999</v>
      </c>
      <c r="H60" s="10">
        <f t="shared" si="29"/>
        <v>-25487.643510000002</v>
      </c>
      <c r="I60" s="10">
        <f t="shared" si="29"/>
        <v>-23667.097545000004</v>
      </c>
      <c r="J60" s="10">
        <f t="shared" si="29"/>
        <v>-21846.551580000003</v>
      </c>
      <c r="K60" s="10">
        <f t="shared" si="29"/>
        <v>-20026.005615000005</v>
      </c>
      <c r="L60" s="10">
        <f t="shared" si="29"/>
        <v>-18205.459650000008</v>
      </c>
      <c r="M60" s="10">
        <f t="shared" si="29"/>
        <v>-16384.913685000007</v>
      </c>
      <c r="N60" s="10">
        <f t="shared" si="29"/>
        <v>-14564.367720000007</v>
      </c>
      <c r="O60" s="10">
        <f t="shared" si="29"/>
        <v>-12743.821755000008</v>
      </c>
      <c r="P60" s="10">
        <f t="shared" si="29"/>
        <v>-10923.275790000007</v>
      </c>
      <c r="Q60" s="10">
        <f t="shared" si="29"/>
        <v>-9102.7298250000076</v>
      </c>
      <c r="R60" s="10">
        <f t="shared" si="29"/>
        <v>-7282.1838600000065</v>
      </c>
      <c r="S60" s="10">
        <f t="shared" si="29"/>
        <v>-5461.6378950000062</v>
      </c>
      <c r="T60" s="10">
        <f t="shared" si="29"/>
        <v>-3641.0919300000064</v>
      </c>
      <c r="U60" s="10">
        <f t="shared" si="29"/>
        <v>-1820.5459650000064</v>
      </c>
      <c r="V60" s="10">
        <f t="shared" si="29"/>
        <v>-6.5483618527650827E-12</v>
      </c>
      <c r="W60" s="10">
        <f t="shared" si="29"/>
        <v>0</v>
      </c>
      <c r="X60" s="10">
        <f t="shared" si="29"/>
        <v>0</v>
      </c>
      <c r="Y60" s="10">
        <f t="shared" si="29"/>
        <v>0</v>
      </c>
      <c r="Z60" s="12">
        <f t="shared" si="29"/>
        <v>0</v>
      </c>
    </row>
    <row r="61" spans="2:29">
      <c r="B61" s="8" t="s">
        <v>119</v>
      </c>
      <c r="C61" s="10">
        <f t="shared" ref="C61:Z61" si="30">SUM(C51:C60)</f>
        <v>0</v>
      </c>
      <c r="D61" s="10">
        <f t="shared" si="30"/>
        <v>0</v>
      </c>
      <c r="E61" s="10">
        <f t="shared" si="30"/>
        <v>0</v>
      </c>
      <c r="F61" s="10">
        <f t="shared" si="30"/>
        <v>-7157.4750000000004</v>
      </c>
      <c r="G61" s="10">
        <f t="shared" si="30"/>
        <v>16062.103213488619</v>
      </c>
      <c r="H61" s="10">
        <f t="shared" si="30"/>
        <v>17882.649178488617</v>
      </c>
      <c r="I61" s="10">
        <f t="shared" si="30"/>
        <v>19703.195143488614</v>
      </c>
      <c r="J61" s="10">
        <f t="shared" si="30"/>
        <v>21523.741108488615</v>
      </c>
      <c r="K61" s="10">
        <f t="shared" si="30"/>
        <v>23344.287073488613</v>
      </c>
      <c r="L61" s="10">
        <f t="shared" si="30"/>
        <v>25164.83303848861</v>
      </c>
      <c r="M61" s="10">
        <f t="shared" si="30"/>
        <v>26985.379003488611</v>
      </c>
      <c r="N61" s="10">
        <f t="shared" si="30"/>
        <v>28805.924968488609</v>
      </c>
      <c r="O61" s="10">
        <f t="shared" si="30"/>
        <v>30626.47093348861</v>
      </c>
      <c r="P61" s="10">
        <f t="shared" si="30"/>
        <v>32447.016898488611</v>
      </c>
      <c r="Q61" s="10">
        <f t="shared" si="30"/>
        <v>34267.562863488609</v>
      </c>
      <c r="R61" s="10">
        <f t="shared" si="30"/>
        <v>36088.108828488614</v>
      </c>
      <c r="S61" s="10">
        <f t="shared" si="30"/>
        <v>37908.654793488611</v>
      </c>
      <c r="T61" s="10">
        <f t="shared" si="30"/>
        <v>39729.200758488609</v>
      </c>
      <c r="U61" s="10">
        <f t="shared" si="30"/>
        <v>41549.746723488613</v>
      </c>
      <c r="V61" s="10">
        <f t="shared" si="30"/>
        <v>129585.79268848864</v>
      </c>
      <c r="W61" s="10">
        <f t="shared" si="30"/>
        <v>129585.79268848864</v>
      </c>
      <c r="X61" s="10">
        <f t="shared" si="30"/>
        <v>129585.79268848864</v>
      </c>
      <c r="Y61" s="10">
        <f t="shared" si="30"/>
        <v>129585.79268848864</v>
      </c>
      <c r="Z61" s="12">
        <f t="shared" si="30"/>
        <v>129585.79268848864</v>
      </c>
    </row>
    <row r="62" spans="2:29">
      <c r="B62" s="138" t="s">
        <v>150</v>
      </c>
      <c r="C62" s="13">
        <f t="shared" ref="C62:Z62" si="31">IF(C61&gt;=0,-C61*$C$20,0)</f>
        <v>0</v>
      </c>
      <c r="D62" s="13">
        <f t="shared" si="31"/>
        <v>0</v>
      </c>
      <c r="E62" s="13">
        <f t="shared" si="31"/>
        <v>0</v>
      </c>
      <c r="F62" s="13">
        <f t="shared" si="31"/>
        <v>0</v>
      </c>
      <c r="G62" s="13">
        <f t="shared" si="31"/>
        <v>-3212.4206426977239</v>
      </c>
      <c r="H62" s="13">
        <f t="shared" si="31"/>
        <v>-3576.5298356977237</v>
      </c>
      <c r="I62" s="13">
        <f t="shared" si="31"/>
        <v>-3940.639028697723</v>
      </c>
      <c r="J62" s="13">
        <f t="shared" si="31"/>
        <v>-4304.7482216977232</v>
      </c>
      <c r="K62" s="13">
        <f t="shared" si="31"/>
        <v>-4668.8574146977226</v>
      </c>
      <c r="L62" s="13">
        <f t="shared" si="31"/>
        <v>-5032.9666076977228</v>
      </c>
      <c r="M62" s="13">
        <f t="shared" si="31"/>
        <v>-5397.075800697723</v>
      </c>
      <c r="N62" s="13">
        <f t="shared" si="31"/>
        <v>-5761.1849936977223</v>
      </c>
      <c r="O62" s="13">
        <f t="shared" si="31"/>
        <v>-6125.2941866977226</v>
      </c>
      <c r="P62" s="13">
        <f t="shared" si="31"/>
        <v>-6489.4033796977228</v>
      </c>
      <c r="Q62" s="13">
        <f t="shared" si="31"/>
        <v>-6853.5125726977221</v>
      </c>
      <c r="R62" s="13">
        <f t="shared" si="31"/>
        <v>-7217.6217656977233</v>
      </c>
      <c r="S62" s="13">
        <f t="shared" si="31"/>
        <v>-7581.7309586977226</v>
      </c>
      <c r="T62" s="13">
        <f t="shared" si="31"/>
        <v>-7945.8401516977219</v>
      </c>
      <c r="U62" s="13">
        <f t="shared" si="31"/>
        <v>-8309.9493446977231</v>
      </c>
      <c r="V62" s="13">
        <f t="shared" si="31"/>
        <v>-25917.158537697731</v>
      </c>
      <c r="W62" s="13">
        <f t="shared" si="31"/>
        <v>-25917.158537697731</v>
      </c>
      <c r="X62" s="13">
        <f t="shared" si="31"/>
        <v>-25917.158537697731</v>
      </c>
      <c r="Y62" s="13">
        <f t="shared" si="31"/>
        <v>-25917.158537697731</v>
      </c>
      <c r="Z62" s="18">
        <f t="shared" si="31"/>
        <v>-25917.158537697731</v>
      </c>
      <c r="AA62" s="137" t="s">
        <v>151</v>
      </c>
      <c r="AB62" s="25">
        <f>SUM(C62:Z62)</f>
        <v>-216003.5675939545</v>
      </c>
      <c r="AC62" s="3">
        <f>AB62/($C$12*$G$8)</f>
        <v>-10.800178379697725</v>
      </c>
    </row>
    <row r="63" spans="2:29" ht="15" thickBot="1">
      <c r="B63" s="19" t="s">
        <v>120</v>
      </c>
      <c r="C63" s="20">
        <f>SUM(C61:C62)</f>
        <v>0</v>
      </c>
      <c r="D63" s="20">
        <f>SUM(D61:D62)</f>
        <v>0</v>
      </c>
      <c r="E63" s="20">
        <f>SUM(E61:E62)</f>
        <v>0</v>
      </c>
      <c r="F63" s="20">
        <f>SUM(F61:F62)</f>
        <v>-7157.4750000000004</v>
      </c>
      <c r="G63" s="20">
        <f>SUM(G61:G62)</f>
        <v>12849.682570790896</v>
      </c>
      <c r="H63" s="20">
        <f t="shared" ref="H63:Z63" si="32">SUM(H61:H62)</f>
        <v>14306.119342790893</v>
      </c>
      <c r="I63" s="20">
        <f t="shared" si="32"/>
        <v>15762.556114790892</v>
      </c>
      <c r="J63" s="20">
        <f t="shared" si="32"/>
        <v>17218.992886790893</v>
      </c>
      <c r="K63" s="20">
        <f t="shared" si="32"/>
        <v>18675.42965879089</v>
      </c>
      <c r="L63" s="20">
        <f t="shared" si="32"/>
        <v>20131.866430790888</v>
      </c>
      <c r="M63" s="20">
        <f t="shared" si="32"/>
        <v>21588.303202790888</v>
      </c>
      <c r="N63" s="20">
        <f t="shared" si="32"/>
        <v>23044.739974790886</v>
      </c>
      <c r="O63" s="20">
        <f t="shared" si="32"/>
        <v>24501.176746790887</v>
      </c>
      <c r="P63" s="20">
        <f t="shared" si="32"/>
        <v>25957.613518790888</v>
      </c>
      <c r="Q63" s="20">
        <f t="shared" si="32"/>
        <v>27414.050290790889</v>
      </c>
      <c r="R63" s="20">
        <f t="shared" si="32"/>
        <v>28870.487062790889</v>
      </c>
      <c r="S63" s="20">
        <f t="shared" si="32"/>
        <v>30326.92383479089</v>
      </c>
      <c r="T63" s="20">
        <f t="shared" si="32"/>
        <v>31783.360606790888</v>
      </c>
      <c r="U63" s="20">
        <f t="shared" si="32"/>
        <v>33239.797378790892</v>
      </c>
      <c r="V63" s="20">
        <f t="shared" si="32"/>
        <v>103668.63415079091</v>
      </c>
      <c r="W63" s="20">
        <f t="shared" si="32"/>
        <v>103668.63415079091</v>
      </c>
      <c r="X63" s="20">
        <f t="shared" si="32"/>
        <v>103668.63415079091</v>
      </c>
      <c r="Y63" s="20">
        <f t="shared" si="32"/>
        <v>103668.63415079091</v>
      </c>
      <c r="Z63" s="21">
        <f t="shared" si="32"/>
        <v>103668.63415079091</v>
      </c>
      <c r="AA63" s="3" t="s">
        <v>121</v>
      </c>
      <c r="AB63" s="25">
        <f>SUM(C63:Z63)</f>
        <v>856856.7953758178</v>
      </c>
      <c r="AC63" s="82">
        <f>AB63/($C$12*$G$8)</f>
        <v>42.842839768790888</v>
      </c>
    </row>
    <row r="64" spans="2:29">
      <c r="F64" s="136" t="s">
        <v>161</v>
      </c>
      <c r="G64" s="43">
        <f t="shared" ref="G64:Z64" si="33">(G61-G60)/G51</f>
        <v>0.12718560905715137</v>
      </c>
      <c r="H64" s="43">
        <f t="shared" si="33"/>
        <v>0.12718560905715137</v>
      </c>
      <c r="I64" s="43">
        <f t="shared" si="33"/>
        <v>0.12718560905715137</v>
      </c>
      <c r="J64" s="43">
        <f t="shared" si="33"/>
        <v>0.12718560905715137</v>
      </c>
      <c r="K64" s="43">
        <f t="shared" si="33"/>
        <v>0.12718560905715137</v>
      </c>
      <c r="L64" s="43">
        <f t="shared" si="33"/>
        <v>0.12718560905715137</v>
      </c>
      <c r="M64" s="43">
        <f t="shared" si="33"/>
        <v>0.12718560905715137</v>
      </c>
      <c r="N64" s="43">
        <f t="shared" si="33"/>
        <v>0.12718560905715137</v>
      </c>
      <c r="O64" s="43">
        <f t="shared" si="33"/>
        <v>0.12718560905715137</v>
      </c>
      <c r="P64" s="43">
        <f t="shared" si="33"/>
        <v>0.12718560905715137</v>
      </c>
      <c r="Q64" s="43">
        <f t="shared" si="33"/>
        <v>0.12718560905715137</v>
      </c>
      <c r="R64" s="43">
        <f t="shared" si="33"/>
        <v>0.12718560905715137</v>
      </c>
      <c r="S64" s="43">
        <f t="shared" si="33"/>
        <v>0.12718560905715137</v>
      </c>
      <c r="T64" s="43">
        <f t="shared" si="33"/>
        <v>0.12718560905715137</v>
      </c>
      <c r="U64" s="43">
        <f t="shared" si="33"/>
        <v>0.12718560905715137</v>
      </c>
      <c r="V64" s="43">
        <f t="shared" si="33"/>
        <v>0.38001698735627165</v>
      </c>
      <c r="W64" s="43">
        <f t="shared" si="33"/>
        <v>0.38001698735627165</v>
      </c>
      <c r="X64" s="43">
        <f t="shared" si="33"/>
        <v>0.38001698735627165</v>
      </c>
      <c r="Y64" s="43">
        <f t="shared" si="33"/>
        <v>0.38001698735627165</v>
      </c>
      <c r="Z64" s="43">
        <f t="shared" si="33"/>
        <v>0.38001698735627165</v>
      </c>
    </row>
    <row r="65" spans="2:29">
      <c r="B65" s="3" t="s">
        <v>292</v>
      </c>
      <c r="G65" s="122">
        <f>IF(G41&lt;0,G24/(-G41-G42),300%)</f>
        <v>1.4726820511608067</v>
      </c>
      <c r="H65" s="122">
        <f t="shared" ref="H65:Z65" si="34">IF(H41&lt;0,H24/(-H41-H42),300%)</f>
        <v>1.5037950522416688</v>
      </c>
      <c r="I65" s="122">
        <f t="shared" si="34"/>
        <v>1.5362510605634314</v>
      </c>
      <c r="J65" s="122">
        <f t="shared" si="34"/>
        <v>1.5701389516052719</v>
      </c>
      <c r="K65" s="122">
        <f t="shared" si="34"/>
        <v>1.5379337965400568</v>
      </c>
      <c r="L65" s="122">
        <f t="shared" si="34"/>
        <v>1.5085898129887234</v>
      </c>
      <c r="M65" s="122">
        <f t="shared" si="34"/>
        <v>1.494451072835149</v>
      </c>
      <c r="N65" s="122">
        <f t="shared" si="34"/>
        <v>1.4923729368646075</v>
      </c>
      <c r="O65" s="122">
        <f t="shared" si="34"/>
        <v>1.4999872943146437</v>
      </c>
      <c r="P65" s="122">
        <f t="shared" si="34"/>
        <v>1.5155222579891301</v>
      </c>
      <c r="Q65" s="122">
        <f t="shared" si="34"/>
        <v>1.5376652114408818</v>
      </c>
      <c r="R65" s="122">
        <f t="shared" si="34"/>
        <v>1.5654589640217806</v>
      </c>
      <c r="S65" s="122">
        <f t="shared" si="34"/>
        <v>1.5982232335916786</v>
      </c>
      <c r="T65" s="122">
        <f t="shared" si="34"/>
        <v>1.635495554997954</v>
      </c>
      <c r="U65" s="122">
        <f t="shared" si="34"/>
        <v>1.6769871466602013</v>
      </c>
      <c r="V65" s="122">
        <f t="shared" si="34"/>
        <v>3</v>
      </c>
      <c r="W65" s="122">
        <f t="shared" si="34"/>
        <v>3</v>
      </c>
      <c r="X65" s="122">
        <f t="shared" si="34"/>
        <v>3</v>
      </c>
      <c r="Y65" s="122">
        <f t="shared" si="34"/>
        <v>3</v>
      </c>
      <c r="Z65" s="122">
        <f t="shared" si="34"/>
        <v>3</v>
      </c>
    </row>
    <row r="66" spans="2:29" ht="15" thickBot="1">
      <c r="B66" s="136" t="s">
        <v>154</v>
      </c>
      <c r="G66" s="123">
        <f>IF(G65&gt;=110%,G44,0)</f>
        <v>41592.737713488641</v>
      </c>
      <c r="H66" s="123">
        <f t="shared" ref="H66:Z66" si="35">IF(H65&gt;=110%,H44,0)</f>
        <v>43413.283678488639</v>
      </c>
      <c r="I66" s="123">
        <f t="shared" si="35"/>
        <v>45233.829643488636</v>
      </c>
      <c r="J66" s="123">
        <f t="shared" si="35"/>
        <v>47054.375608488641</v>
      </c>
      <c r="K66" s="123">
        <f t="shared" si="35"/>
        <v>43417.105320947157</v>
      </c>
      <c r="L66" s="123">
        <f t="shared" si="35"/>
        <v>40122.815714658092</v>
      </c>
      <c r="M66" s="123">
        <f t="shared" si="35"/>
        <v>38107.235001191293</v>
      </c>
      <c r="N66" s="123">
        <f t="shared" si="35"/>
        <v>37050.685957341193</v>
      </c>
      <c r="O66" s="123">
        <f t="shared" si="35"/>
        <v>36713.410665703617</v>
      </c>
      <c r="P66" s="123">
        <f t="shared" si="35"/>
        <v>36915.590688225442</v>
      </c>
      <c r="Q66" s="123">
        <f t="shared" si="35"/>
        <v>37522.362196366805</v>
      </c>
      <c r="R66" s="123">
        <f t="shared" si="35"/>
        <v>38432.577318722833</v>
      </c>
      <c r="S66" s="123">
        <f t="shared" si="35"/>
        <v>39570.375151739849</v>
      </c>
      <c r="T66" s="123">
        <f t="shared" si="35"/>
        <v>40878.86001775261</v>
      </c>
      <c r="U66" s="123">
        <f t="shared" si="35"/>
        <v>42315.36015851218</v>
      </c>
      <c r="V66" s="123">
        <f t="shared" si="35"/>
        <v>104532.73725533187</v>
      </c>
      <c r="W66" s="123">
        <f t="shared" si="35"/>
        <v>104316.71147919663</v>
      </c>
      <c r="X66" s="123">
        <f t="shared" si="35"/>
        <v>104316.71147919663</v>
      </c>
      <c r="Y66" s="123">
        <f t="shared" si="35"/>
        <v>104316.71147919663</v>
      </c>
      <c r="Z66" s="123">
        <f t="shared" si="35"/>
        <v>104316.71147919663</v>
      </c>
    </row>
    <row r="67" spans="2:29" ht="15" thickBot="1">
      <c r="B67" s="3" t="s">
        <v>122</v>
      </c>
      <c r="C67" s="116">
        <f>IRR(C68:Z68)</f>
        <v>9.0070852237211563E-2</v>
      </c>
    </row>
    <row r="68" spans="2:29">
      <c r="B68" s="88" t="s">
        <v>123</v>
      </c>
      <c r="C68" s="89">
        <f>-C30</f>
        <v>-58195.462500000001</v>
      </c>
      <c r="D68" s="89">
        <f>-D30</f>
        <v>-116390.925</v>
      </c>
      <c r="E68" s="89">
        <f>-E30</f>
        <v>-155187.9</v>
      </c>
      <c r="F68" s="89">
        <f>-F30</f>
        <v>-60342.705000000002</v>
      </c>
      <c r="G68" s="89">
        <f>G66</f>
        <v>41592.737713488641</v>
      </c>
      <c r="H68" s="89">
        <f t="shared" ref="H68:Y68" si="36">H66</f>
        <v>43413.283678488639</v>
      </c>
      <c r="I68" s="89">
        <f t="shared" si="36"/>
        <v>45233.829643488636</v>
      </c>
      <c r="J68" s="89">
        <f t="shared" si="36"/>
        <v>47054.375608488641</v>
      </c>
      <c r="K68" s="89">
        <f t="shared" si="36"/>
        <v>43417.105320947157</v>
      </c>
      <c r="L68" s="89">
        <f t="shared" si="36"/>
        <v>40122.815714658092</v>
      </c>
      <c r="M68" s="89">
        <f t="shared" si="36"/>
        <v>38107.235001191293</v>
      </c>
      <c r="N68" s="89">
        <f t="shared" si="36"/>
        <v>37050.685957341193</v>
      </c>
      <c r="O68" s="89">
        <f t="shared" si="36"/>
        <v>36713.410665703617</v>
      </c>
      <c r="P68" s="89">
        <f t="shared" si="36"/>
        <v>36915.590688225442</v>
      </c>
      <c r="Q68" s="89">
        <f t="shared" si="36"/>
        <v>37522.362196366805</v>
      </c>
      <c r="R68" s="89">
        <f t="shared" si="36"/>
        <v>38432.577318722833</v>
      </c>
      <c r="S68" s="89">
        <f t="shared" si="36"/>
        <v>39570.375151739849</v>
      </c>
      <c r="T68" s="89">
        <f t="shared" si="36"/>
        <v>40878.86001775261</v>
      </c>
      <c r="U68" s="89">
        <f t="shared" si="36"/>
        <v>42315.36015851218</v>
      </c>
      <c r="V68" s="89">
        <f t="shared" si="36"/>
        <v>104532.73725533187</v>
      </c>
      <c r="W68" s="89">
        <f t="shared" si="36"/>
        <v>104316.71147919663</v>
      </c>
      <c r="X68" s="89">
        <f t="shared" si="36"/>
        <v>104316.71147919663</v>
      </c>
      <c r="Y68" s="89">
        <f t="shared" si="36"/>
        <v>104316.71147919663</v>
      </c>
      <c r="Z68" s="89">
        <f>Z66+Z44/(G12-C18)*G13</f>
        <v>104316.71147919663</v>
      </c>
      <c r="AB68" s="25">
        <f>SUM(C68:Z68)</f>
        <v>740023.19550723408</v>
      </c>
      <c r="AC68" s="82">
        <f>AB68/($C$12*$G$8)</f>
        <v>37.001159775361707</v>
      </c>
    </row>
    <row r="69" spans="2:29">
      <c r="Z69" s="35"/>
    </row>
    <row r="70" spans="2:29">
      <c r="B70" s="140" t="s">
        <v>293</v>
      </c>
      <c r="C70" s="23"/>
      <c r="D70" s="23"/>
      <c r="E70" s="23"/>
      <c r="F70" s="23"/>
      <c r="G70" s="112"/>
      <c r="H70" s="23"/>
      <c r="I70" s="23"/>
      <c r="J70" s="23"/>
      <c r="K70" s="23"/>
      <c r="L70" s="112"/>
      <c r="M70" s="112"/>
      <c r="N70" s="112"/>
      <c r="O70" s="112"/>
      <c r="P70" s="112"/>
      <c r="Q70" s="112"/>
      <c r="R70" s="112"/>
      <c r="S70" s="112"/>
      <c r="T70" s="112"/>
      <c r="U70" s="112"/>
      <c r="V70" s="112"/>
      <c r="W70" s="112"/>
      <c r="X70" s="112"/>
      <c r="Y70" s="112"/>
      <c r="Z70" s="112"/>
      <c r="AA70" s="22"/>
    </row>
    <row r="71" spans="2:29">
      <c r="B71" s="141" t="s">
        <v>157</v>
      </c>
      <c r="C71" s="30">
        <v>0.25</v>
      </c>
      <c r="Z71" s="24"/>
    </row>
    <row r="72" spans="2:29">
      <c r="B72" s="142" t="s">
        <v>155</v>
      </c>
      <c r="G72" s="25">
        <f>-(C4+C10)*$C71</f>
        <v>-323308.125</v>
      </c>
      <c r="H72" s="25">
        <f t="shared" ref="H72:M72" si="37">-G73*$C71</f>
        <v>-242481.09375</v>
      </c>
      <c r="I72" s="25">
        <f t="shared" si="37"/>
        <v>-181860.8203125</v>
      </c>
      <c r="J72" s="25">
        <f t="shared" si="37"/>
        <v>-136395.615234375</v>
      </c>
      <c r="K72" s="25">
        <f t="shared" si="37"/>
        <v>-102296.71142578125</v>
      </c>
      <c r="L72" s="25">
        <f t="shared" si="37"/>
        <v>-76722.533569335938</v>
      </c>
      <c r="M72" s="25">
        <f t="shared" si="37"/>
        <v>-57541.900177001953</v>
      </c>
      <c r="N72" s="25">
        <f t="shared" ref="N72:W72" si="38">-M73*$C71</f>
        <v>-43156.425132751465</v>
      </c>
      <c r="O72" s="25">
        <f t="shared" si="38"/>
        <v>-32367.318849563599</v>
      </c>
      <c r="P72" s="25">
        <f t="shared" si="38"/>
        <v>-24275.489137172699</v>
      </c>
      <c r="Q72" s="25">
        <f t="shared" si="38"/>
        <v>-18206.616852879524</v>
      </c>
      <c r="R72" s="25">
        <f t="shared" si="38"/>
        <v>-13654.962639659643</v>
      </c>
      <c r="S72" s="25">
        <f t="shared" si="38"/>
        <v>-10241.221979744732</v>
      </c>
      <c r="T72" s="25">
        <f t="shared" si="38"/>
        <v>-7680.9164848085493</v>
      </c>
      <c r="U72" s="25">
        <f t="shared" si="38"/>
        <v>-5760.687363606412</v>
      </c>
      <c r="V72" s="25">
        <f t="shared" si="38"/>
        <v>-4320.515522704809</v>
      </c>
      <c r="W72" s="25">
        <f t="shared" si="38"/>
        <v>-3240.3866420286067</v>
      </c>
      <c r="X72" s="114">
        <f>-W73/3</f>
        <v>-3240.3866420286067</v>
      </c>
      <c r="Y72" s="27">
        <f>-W73/3</f>
        <v>-3240.3866420286067</v>
      </c>
      <c r="Z72" s="28">
        <f>-W73/3</f>
        <v>-3240.3866420286067</v>
      </c>
    </row>
    <row r="73" spans="2:29">
      <c r="B73" s="142" t="s">
        <v>156</v>
      </c>
      <c r="G73" s="22">
        <f>C4+C10+G72</f>
        <v>969924.375</v>
      </c>
      <c r="H73" s="22">
        <f>G73+H72</f>
        <v>727443.28125</v>
      </c>
      <c r="I73" s="22">
        <f>H73+I72</f>
        <v>545582.4609375</v>
      </c>
      <c r="J73" s="22">
        <f>I73+J72</f>
        <v>409186.845703125</v>
      </c>
      <c r="K73" s="22">
        <f>J73+K72</f>
        <v>306890.13427734375</v>
      </c>
      <c r="L73" s="22">
        <f>K73+L72</f>
        <v>230167.60070800781</v>
      </c>
      <c r="M73" s="22">
        <f t="shared" ref="M73:Z73" si="39">L73+M72</f>
        <v>172625.70053100586</v>
      </c>
      <c r="N73" s="22">
        <f t="shared" si="39"/>
        <v>129469.27539825439</v>
      </c>
      <c r="O73" s="22">
        <f t="shared" si="39"/>
        <v>97101.956548690796</v>
      </c>
      <c r="P73" s="22">
        <f t="shared" si="39"/>
        <v>72826.467411518097</v>
      </c>
      <c r="Q73" s="22">
        <f t="shared" si="39"/>
        <v>54619.850558638573</v>
      </c>
      <c r="R73" s="22">
        <f t="shared" si="39"/>
        <v>40964.88791897893</v>
      </c>
      <c r="S73" s="22">
        <f t="shared" si="39"/>
        <v>30723.665939234197</v>
      </c>
      <c r="T73" s="22">
        <f t="shared" si="39"/>
        <v>23042.749454425648</v>
      </c>
      <c r="U73" s="22">
        <f t="shared" si="39"/>
        <v>17282.062090819236</v>
      </c>
      <c r="V73" s="22">
        <f t="shared" si="39"/>
        <v>12961.546568114427</v>
      </c>
      <c r="W73" s="22">
        <f t="shared" si="39"/>
        <v>9721.1599260858202</v>
      </c>
      <c r="X73" s="22">
        <f t="shared" si="39"/>
        <v>6480.7732840572135</v>
      </c>
      <c r="Y73" s="22">
        <f t="shared" si="39"/>
        <v>3240.3866420286067</v>
      </c>
      <c r="Z73" s="26">
        <f t="shared" si="39"/>
        <v>0</v>
      </c>
    </row>
    <row r="74" spans="2:29" ht="28.5">
      <c r="B74" s="143" t="s">
        <v>294</v>
      </c>
      <c r="G74" s="22">
        <f t="shared" ref="G74:Z74" si="40">SUM(G51,G53,G54,G55,G56,G57,G58,G72)</f>
        <v>-193722.33231151136</v>
      </c>
      <c r="H74" s="22">
        <f t="shared" si="40"/>
        <v>-112895.30106151136</v>
      </c>
      <c r="I74" s="22">
        <f t="shared" si="40"/>
        <v>-52275.02762401136</v>
      </c>
      <c r="J74" s="22">
        <f t="shared" si="40"/>
        <v>-6809.8225458863599</v>
      </c>
      <c r="K74" s="22">
        <f t="shared" si="40"/>
        <v>27289.08126270739</v>
      </c>
      <c r="L74" s="22">
        <f t="shared" si="40"/>
        <v>52863.259119152703</v>
      </c>
      <c r="M74" s="22">
        <f t="shared" si="40"/>
        <v>72043.892511486687</v>
      </c>
      <c r="N74" s="22">
        <f t="shared" si="40"/>
        <v>86429.367555737175</v>
      </c>
      <c r="O74" s="22">
        <f t="shared" si="40"/>
        <v>97218.473838925041</v>
      </c>
      <c r="P74" s="22">
        <f t="shared" si="40"/>
        <v>105310.30355131594</v>
      </c>
      <c r="Q74" s="22">
        <f t="shared" si="40"/>
        <v>111379.17583560912</v>
      </c>
      <c r="R74" s="22">
        <f t="shared" si="40"/>
        <v>115930.830048829</v>
      </c>
      <c r="S74" s="22">
        <f t="shared" si="40"/>
        <v>119344.57070874391</v>
      </c>
      <c r="T74" s="22">
        <f t="shared" si="40"/>
        <v>121904.87620368009</v>
      </c>
      <c r="U74" s="22">
        <f t="shared" si="40"/>
        <v>123825.10532488223</v>
      </c>
      <c r="V74" s="22">
        <f t="shared" si="40"/>
        <v>125265.27716578383</v>
      </c>
      <c r="W74" s="22">
        <f t="shared" si="40"/>
        <v>126345.40604646003</v>
      </c>
      <c r="X74" s="22">
        <f t="shared" si="40"/>
        <v>126345.40604646003</v>
      </c>
      <c r="Y74" s="22">
        <f t="shared" si="40"/>
        <v>126345.40604646003</v>
      </c>
      <c r="Z74" s="26">
        <f t="shared" si="40"/>
        <v>126345.40604646003</v>
      </c>
    </row>
    <row r="75" spans="2:29" ht="16.5">
      <c r="B75" s="127" t="s">
        <v>124</v>
      </c>
      <c r="C75" s="128"/>
      <c r="D75" s="128"/>
      <c r="E75" s="128"/>
      <c r="F75" s="128"/>
      <c r="G75" s="129">
        <f t="shared" ref="G75:Z75" si="41">IF(G74&gt;=0,-G74*$C$20,0)</f>
        <v>0</v>
      </c>
      <c r="H75" s="129">
        <f t="shared" si="41"/>
        <v>0</v>
      </c>
      <c r="I75" s="129">
        <f t="shared" si="41"/>
        <v>0</v>
      </c>
      <c r="J75" s="129">
        <f t="shared" si="41"/>
        <v>0</v>
      </c>
      <c r="K75" s="129">
        <f t="shared" si="41"/>
        <v>-5457.8162525414782</v>
      </c>
      <c r="L75" s="129">
        <f t="shared" si="41"/>
        <v>-10572.651823830542</v>
      </c>
      <c r="M75" s="129">
        <f t="shared" si="41"/>
        <v>-14408.778502297338</v>
      </c>
      <c r="N75" s="129">
        <f t="shared" si="41"/>
        <v>-17285.873511147434</v>
      </c>
      <c r="O75" s="129">
        <f t="shared" si="41"/>
        <v>-19443.694767785008</v>
      </c>
      <c r="P75" s="129">
        <f t="shared" si="41"/>
        <v>-21062.060710263191</v>
      </c>
      <c r="Q75" s="129">
        <f t="shared" si="41"/>
        <v>-22275.835167121826</v>
      </c>
      <c r="R75" s="129">
        <f t="shared" si="41"/>
        <v>-23186.166009765802</v>
      </c>
      <c r="S75" s="129">
        <f t="shared" si="41"/>
        <v>-23868.914141748784</v>
      </c>
      <c r="T75" s="129">
        <f t="shared" si="41"/>
        <v>-24380.975240736021</v>
      </c>
      <c r="U75" s="129">
        <f t="shared" si="41"/>
        <v>-24765.021064976449</v>
      </c>
      <c r="V75" s="129">
        <f t="shared" si="41"/>
        <v>-25053.055433156769</v>
      </c>
      <c r="W75" s="129">
        <f t="shared" si="41"/>
        <v>-25269.08120929201</v>
      </c>
      <c r="X75" s="129">
        <f t="shared" si="41"/>
        <v>-25269.08120929201</v>
      </c>
      <c r="Y75" s="129">
        <f t="shared" si="41"/>
        <v>-25269.08120929201</v>
      </c>
      <c r="Z75" s="130">
        <f t="shared" si="41"/>
        <v>-25269.08120929201</v>
      </c>
      <c r="AA75" s="22"/>
    </row>
    <row r="76" spans="2:29" ht="19.149999999999999" customHeight="1"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</row>
  </sheetData>
  <mergeCells count="3">
    <mergeCell ref="X1:Z1"/>
    <mergeCell ref="D2:E2"/>
    <mergeCell ref="B10:B11"/>
  </mergeCells>
  <phoneticPr fontId="195"/>
  <pageMargins left="0.70866141732283472" right="0.70866141732283472" top="0.74803149606299213" bottom="0.74803149606299213" header="0.31496062992125984" footer="0.31496062992125984"/>
  <pageSetup paperSize="8" scale="48" fitToHeight="0" orientation="landscape" r:id="rId1"/>
  <headerFooter>
    <oddHeader>&amp;F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NH3 Cost (NG)</vt:lpstr>
      <vt:lpstr>IRR (NG+CCS)</vt:lpstr>
      <vt:lpstr>'IRR (NG+CCS)'!Print_Area</vt:lpstr>
      <vt:lpstr>'NH3 Cost (NG)'!Print_Area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Yoshikazu KOBAYASHI (小林　良和)</dc:creator>
  <cp:keywords/>
  <dc:description/>
  <cp:lastModifiedBy>Yoshikazu KOBAYASHI (小林　良和)</cp:lastModifiedBy>
  <cp:revision/>
  <cp:lastPrinted>2022-10-03T05:02:09Z</cp:lastPrinted>
  <dcterms:created xsi:type="dcterms:W3CDTF">2006-03-01T18:40:35Z</dcterms:created>
  <dcterms:modified xsi:type="dcterms:W3CDTF">2022-10-03T05:22:04Z</dcterms:modified>
  <cp:category/>
  <cp:contentStatus/>
</cp:coreProperties>
</file>