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50_各課室用\140_素形室\統計\HPUP\3.時系列\1.金属熱処理（時系列）\"/>
    </mc:Choice>
  </mc:AlternateContent>
  <bookViews>
    <workbookView xWindow="0" yWindow="0" windowWidth="21555" windowHeight="10830"/>
  </bookViews>
  <sheets>
    <sheet name="加工別" sheetId="1" r:id="rId1"/>
    <sheet name="用途別" sheetId="4" r:id="rId2"/>
    <sheet name="原材料別" sheetId="2" r:id="rId3"/>
    <sheet name="労務" sheetId="3" r:id="rId4"/>
  </sheets>
  <externalReferences>
    <externalReference r:id="rId5"/>
  </externalReferences>
  <definedNames>
    <definedName name="_xlnm._FilterDatabase" localSheetId="0" hidden="1">加工別!$D$5</definedName>
    <definedName name="_xlnm.Print_Area" localSheetId="0">加工別!$A$1:$JS$32</definedName>
    <definedName name="_xlnm.Print_Area" localSheetId="2">原材料別!$A$1:$DU$27</definedName>
    <definedName name="_xlnm.Print_Area" localSheetId="1">用途別!$A$1:$IK$17</definedName>
    <definedName name="_xlnm.Print_Area" localSheetId="3">労務!$A$1:$DU$8</definedName>
  </definedNames>
  <calcPr calcId="162913"/>
</workbook>
</file>

<file path=xl/calcChain.xml><?xml version="1.0" encoding="utf-8"?>
<calcChain xmlns="http://schemas.openxmlformats.org/spreadsheetml/2006/main">
  <c r="JN7" i="3" l="1"/>
  <c r="JN5" i="3"/>
  <c r="JN27" i="2"/>
  <c r="JN25" i="2"/>
  <c r="JN23" i="2"/>
  <c r="JN21" i="2"/>
  <c r="JN19" i="2"/>
  <c r="JN17" i="2"/>
  <c r="JN15" i="2"/>
  <c r="JN11" i="2"/>
  <c r="JN7" i="2"/>
  <c r="JN5" i="2"/>
  <c r="JN13" i="2"/>
  <c r="JN9" i="2"/>
  <c r="JN15" i="4"/>
  <c r="JN13" i="4"/>
  <c r="JN11" i="4"/>
  <c r="JN9" i="4"/>
  <c r="JN7" i="4"/>
  <c r="JN5" i="4"/>
  <c r="JN4" i="4"/>
  <c r="JN31" i="1"/>
  <c r="JN27" i="1"/>
  <c r="JN23" i="1"/>
  <c r="JN19" i="1"/>
  <c r="JN15" i="1"/>
  <c r="JN29" i="1"/>
  <c r="JN25" i="1"/>
  <c r="JN21" i="1"/>
  <c r="JN17" i="1"/>
  <c r="JN13" i="1"/>
  <c r="JN9" i="1"/>
  <c r="JN6" i="1"/>
  <c r="JN7" i="1" s="1"/>
  <c r="JN4" i="1"/>
  <c r="JN5" i="1" s="1"/>
  <c r="JM5" i="1" l="1"/>
  <c r="JM31" i="1"/>
  <c r="JM27" i="1"/>
  <c r="JM23" i="1"/>
  <c r="JM19" i="1"/>
  <c r="JM15" i="1"/>
  <c r="JM11" i="1"/>
  <c r="JM7" i="1"/>
  <c r="JM15" i="4"/>
  <c r="JM13" i="4"/>
  <c r="JM11" i="4"/>
  <c r="JM9" i="4"/>
  <c r="JM7" i="4"/>
  <c r="JM5" i="4"/>
  <c r="JM7" i="3"/>
  <c r="JM5" i="3"/>
  <c r="JM27" i="2"/>
  <c r="JM25" i="2"/>
  <c r="JM23" i="2"/>
  <c r="JM21" i="2"/>
  <c r="JM19" i="2"/>
  <c r="JM17" i="2"/>
  <c r="JM15" i="2"/>
  <c r="JM13" i="2"/>
  <c r="JM11" i="2"/>
  <c r="JM9" i="2"/>
  <c r="JM7" i="2"/>
  <c r="JM5" i="2"/>
  <c r="JM4" i="4"/>
  <c r="JM29" i="1"/>
  <c r="JM25" i="1"/>
  <c r="JM21" i="1"/>
  <c r="JM17" i="1"/>
  <c r="JM13" i="1"/>
  <c r="JM9" i="1"/>
  <c r="JM6" i="1"/>
  <c r="JM4" i="1"/>
  <c r="IY7" i="3" l="1"/>
  <c r="JL7" i="3"/>
  <c r="JK7" i="3"/>
  <c r="JK5" i="3"/>
  <c r="JL27" i="2"/>
  <c r="JL25" i="2"/>
  <c r="JL23" i="2"/>
  <c r="JL21" i="2"/>
  <c r="JL19" i="2"/>
  <c r="JL17" i="2"/>
  <c r="JL15" i="2"/>
  <c r="JL13" i="2"/>
  <c r="JL11" i="2"/>
  <c r="JL9" i="2"/>
  <c r="JL7" i="2"/>
  <c r="JL5" i="2"/>
  <c r="JF27" i="2" l="1"/>
  <c r="JF25" i="2"/>
  <c r="JF23" i="2"/>
  <c r="JF21" i="2"/>
  <c r="JF19" i="2"/>
  <c r="JF17" i="2"/>
  <c r="JF15" i="2"/>
  <c r="JF13" i="2"/>
  <c r="JF11" i="2"/>
  <c r="JF9" i="2"/>
  <c r="JF7" i="2"/>
  <c r="JF5" i="2"/>
  <c r="JK27" i="2" l="1"/>
  <c r="JK25" i="2"/>
  <c r="JK23" i="2"/>
  <c r="JK21" i="2"/>
  <c r="JK19" i="2"/>
  <c r="JK17" i="2"/>
  <c r="JK15" i="2"/>
  <c r="JK13" i="2"/>
  <c r="JK11" i="2"/>
  <c r="JK9" i="2"/>
  <c r="JK7" i="2"/>
  <c r="JK5" i="2"/>
  <c r="JL15" i="4"/>
  <c r="JL13" i="4"/>
  <c r="JL11" i="4"/>
  <c r="JL9" i="4"/>
  <c r="JL7" i="4"/>
  <c r="JL5" i="4"/>
  <c r="JK15" i="4" l="1"/>
  <c r="JK13" i="4"/>
  <c r="JK11" i="4"/>
  <c r="JK9" i="4"/>
  <c r="JK7" i="4"/>
  <c r="JK5" i="4"/>
  <c r="JL7" i="1" l="1"/>
  <c r="JL31" i="1"/>
  <c r="JL27" i="1"/>
  <c r="JL23" i="1"/>
  <c r="JL19" i="1"/>
  <c r="JL15" i="1"/>
  <c r="JL11" i="1"/>
  <c r="JK31" i="1"/>
  <c r="JK27" i="1"/>
  <c r="JK23" i="1"/>
  <c r="JK19" i="1"/>
  <c r="JK15" i="1"/>
  <c r="JJ15" i="1"/>
  <c r="JK11" i="1"/>
  <c r="JK7" i="1"/>
  <c r="JK29" i="1"/>
  <c r="JK25" i="1"/>
  <c r="JK21" i="1"/>
  <c r="JK17" i="1"/>
  <c r="JK13" i="1"/>
  <c r="JK9" i="1"/>
  <c r="JK4" i="1"/>
  <c r="JK5" i="1" s="1"/>
  <c r="JJ7" i="1" l="1"/>
  <c r="JJ15" i="4"/>
  <c r="JJ13" i="4"/>
  <c r="JJ11" i="4"/>
  <c r="JJ9" i="4"/>
  <c r="JJ7" i="4"/>
  <c r="JJ31" i="1"/>
  <c r="JJ27" i="1"/>
  <c r="JJ23" i="1"/>
  <c r="JJ19" i="1"/>
  <c r="JJ11" i="1"/>
  <c r="JJ7" i="3"/>
  <c r="JJ5" i="3"/>
  <c r="JJ27" i="2"/>
  <c r="JJ25" i="2"/>
  <c r="JJ23" i="2"/>
  <c r="JJ21" i="2"/>
  <c r="JJ19" i="2"/>
  <c r="JJ17" i="2"/>
  <c r="JJ15" i="2"/>
  <c r="JJ13" i="2"/>
  <c r="JJ11" i="2"/>
  <c r="JJ9" i="2"/>
  <c r="JJ7" i="2"/>
  <c r="JJ5" i="2"/>
  <c r="JJ4" i="4"/>
  <c r="JJ5" i="4" s="1"/>
  <c r="JJ29" i="1"/>
  <c r="JJ25" i="1"/>
  <c r="JJ21" i="1"/>
  <c r="JJ17" i="1"/>
  <c r="JJ13" i="1"/>
  <c r="JJ9" i="1"/>
  <c r="JJ6" i="1"/>
  <c r="JJ4" i="1"/>
  <c r="JJ5" i="1" s="1"/>
  <c r="JI7" i="3" l="1"/>
  <c r="JI5" i="3"/>
  <c r="JI27" i="2" l="1"/>
  <c r="JI25" i="2"/>
  <c r="JI23" i="2"/>
  <c r="JI21" i="2"/>
  <c r="JI19" i="2"/>
  <c r="JI17" i="2"/>
  <c r="JI15" i="2"/>
  <c r="JI13" i="2"/>
  <c r="JI11" i="2"/>
  <c r="JI9" i="2"/>
  <c r="JI7" i="2"/>
  <c r="JI5" i="2"/>
  <c r="JI15" i="4"/>
  <c r="JI13" i="4"/>
  <c r="JI11" i="4"/>
  <c r="JI9" i="4"/>
  <c r="JI7" i="4"/>
  <c r="JI4" i="4"/>
  <c r="JI5" i="4" s="1"/>
  <c r="JI31" i="1"/>
  <c r="JI27" i="1"/>
  <c r="JI23" i="1"/>
  <c r="JI19" i="1"/>
  <c r="JI15" i="1"/>
  <c r="JI11" i="1"/>
  <c r="JI7" i="1"/>
  <c r="JI29" i="1"/>
  <c r="JI25" i="1"/>
  <c r="JI21" i="1"/>
  <c r="JI17" i="1"/>
  <c r="JI13" i="1"/>
  <c r="JI9" i="1"/>
  <c r="JI6" i="1"/>
  <c r="JI4" i="1"/>
  <c r="JI5" i="1" s="1"/>
  <c r="JH7" i="3" l="1"/>
  <c r="JH5" i="3"/>
  <c r="JH27" i="2" l="1"/>
  <c r="JH25" i="2"/>
  <c r="JH23" i="2"/>
  <c r="JH21" i="2"/>
  <c r="JH19" i="2"/>
  <c r="JH17" i="2"/>
  <c r="JH15" i="2"/>
  <c r="JH13" i="2"/>
  <c r="JH11" i="2"/>
  <c r="JH9" i="2"/>
  <c r="JH7" i="2"/>
  <c r="JH5" i="2"/>
  <c r="JH15" i="4"/>
  <c r="JH13" i="4"/>
  <c r="JH11" i="4"/>
  <c r="JH9" i="4"/>
  <c r="JH7" i="4"/>
  <c r="JH4" i="4"/>
  <c r="JH5" i="4" s="1"/>
  <c r="JH31" i="1"/>
  <c r="JH29" i="1"/>
  <c r="JH27" i="1"/>
  <c r="JH25" i="1"/>
  <c r="JH23" i="1"/>
  <c r="JH19" i="1"/>
  <c r="JH17" i="1"/>
  <c r="JH15" i="1"/>
  <c r="JH11" i="1"/>
  <c r="JH7" i="1"/>
  <c r="JH21" i="1"/>
  <c r="JH13" i="1"/>
  <c r="JH9" i="1"/>
  <c r="JH6" i="1"/>
  <c r="JH4" i="1"/>
  <c r="JH5" i="1" s="1"/>
  <c r="JG27" i="2" l="1"/>
  <c r="JG25" i="2"/>
  <c r="JG23" i="2"/>
  <c r="JG21" i="2"/>
  <c r="JG19" i="2"/>
  <c r="JG17" i="2"/>
  <c r="JG15" i="2"/>
  <c r="JG11" i="2"/>
  <c r="JG7" i="2"/>
  <c r="JG5" i="2"/>
  <c r="JG7" i="3" l="1"/>
  <c r="JG5" i="3"/>
  <c r="JG13" i="2"/>
  <c r="JG9" i="2"/>
  <c r="JG15" i="4"/>
  <c r="JG13" i="4"/>
  <c r="JG11" i="4"/>
  <c r="JG9" i="4"/>
  <c r="JG7" i="4"/>
  <c r="JG4" i="4"/>
  <c r="JG5" i="4" s="1"/>
  <c r="JG31" i="1"/>
  <c r="JG29" i="1"/>
  <c r="JG27" i="1"/>
  <c r="JG25" i="1"/>
  <c r="JG23" i="1"/>
  <c r="JG21" i="1"/>
  <c r="JG19" i="1"/>
  <c r="JG17" i="1"/>
  <c r="JG15" i="1"/>
  <c r="JG13" i="1"/>
  <c r="JG11" i="1"/>
  <c r="JG9" i="1"/>
  <c r="JG6" i="1"/>
  <c r="JG7" i="1" s="1"/>
  <c r="JG4" i="1"/>
  <c r="JG5" i="1" s="1"/>
  <c r="JF7" i="3" l="1"/>
  <c r="JF5" i="3"/>
  <c r="JF15" i="4"/>
  <c r="JF13" i="4"/>
  <c r="JF11" i="4"/>
  <c r="JF9" i="4"/>
  <c r="JF7" i="4"/>
  <c r="JF4" i="4"/>
  <c r="JF7" i="1"/>
  <c r="JF11" i="1"/>
  <c r="JF31" i="1"/>
  <c r="JF29" i="1"/>
  <c r="JF27" i="1"/>
  <c r="JF25" i="1"/>
  <c r="JF23" i="1"/>
  <c r="JF21" i="1"/>
  <c r="JF19" i="1"/>
  <c r="JF17" i="1"/>
  <c r="JF15" i="1"/>
  <c r="JF13" i="1"/>
  <c r="JF9" i="1"/>
  <c r="JF6" i="1"/>
  <c r="JF4" i="1"/>
  <c r="JF5" i="1" s="1"/>
  <c r="JF5" i="4" l="1"/>
  <c r="JE31" i="1"/>
  <c r="JE29" i="1"/>
  <c r="JE27" i="1"/>
  <c r="JE25" i="1"/>
  <c r="JE23" i="1"/>
  <c r="JE21" i="1"/>
  <c r="JE19" i="1"/>
  <c r="JE17" i="1"/>
  <c r="JE15" i="1"/>
  <c r="JE13" i="1"/>
  <c r="JE11" i="1"/>
  <c r="JE9" i="1"/>
  <c r="JE6" i="1"/>
  <c r="JE7" i="1" s="1"/>
  <c r="JE4" i="1"/>
  <c r="JE5" i="1" s="1"/>
  <c r="JE15" i="4"/>
  <c r="JE13" i="4"/>
  <c r="JE11" i="4"/>
  <c r="JE9" i="4"/>
  <c r="JE7" i="4"/>
  <c r="JE4" i="4"/>
  <c r="JE27" i="2"/>
  <c r="JE25" i="2"/>
  <c r="JE23" i="2"/>
  <c r="JE21" i="2"/>
  <c r="JE19" i="2"/>
  <c r="JE17" i="2"/>
  <c r="JE15" i="2"/>
  <c r="JE13" i="2"/>
  <c r="JE11" i="2"/>
  <c r="JE9" i="2"/>
  <c r="JE7" i="2"/>
  <c r="JE5" i="2"/>
  <c r="JE7" i="3"/>
  <c r="JE5" i="3"/>
  <c r="JD7" i="3" l="1"/>
  <c r="JD5" i="3"/>
  <c r="JD27" i="2"/>
  <c r="JD25" i="2"/>
  <c r="JD23" i="2"/>
  <c r="JD21" i="2"/>
  <c r="JD19" i="2"/>
  <c r="JD17" i="2"/>
  <c r="JD15" i="2"/>
  <c r="JD13" i="2"/>
  <c r="JD11" i="2"/>
  <c r="JD9" i="2"/>
  <c r="JD7" i="2"/>
  <c r="JD5" i="2"/>
  <c r="JD15" i="4"/>
  <c r="JD13" i="4"/>
  <c r="JD11" i="4"/>
  <c r="JD9" i="4"/>
  <c r="JD7" i="4"/>
  <c r="JD4" i="4"/>
  <c r="JD31" i="1"/>
  <c r="JD29" i="1"/>
  <c r="JD27" i="1"/>
  <c r="JD25" i="1"/>
  <c r="JD23" i="1"/>
  <c r="JD21" i="1"/>
  <c r="JD19" i="1"/>
  <c r="JD17" i="1"/>
  <c r="JD15" i="1"/>
  <c r="JD13" i="1"/>
  <c r="JD11" i="1"/>
  <c r="JD9" i="1"/>
  <c r="JD6" i="1"/>
  <c r="JD7" i="1" s="1"/>
  <c r="JD4" i="1"/>
  <c r="JD5" i="1" s="1"/>
  <c r="JC7" i="3" l="1"/>
  <c r="JC5" i="3"/>
  <c r="JC27" i="2"/>
  <c r="JC25" i="2"/>
  <c r="JC23" i="2"/>
  <c r="JC21" i="2"/>
  <c r="JC19" i="2"/>
  <c r="JC17" i="2"/>
  <c r="JC15" i="2"/>
  <c r="JC13" i="2"/>
  <c r="JC11" i="2"/>
  <c r="JC9" i="2"/>
  <c r="JC7" i="2"/>
  <c r="JC5" i="2"/>
  <c r="JC15" i="4"/>
  <c r="JC13" i="4"/>
  <c r="JC11" i="4"/>
  <c r="JC9" i="4"/>
  <c r="JC7" i="4"/>
  <c r="JC4" i="4"/>
  <c r="JC31" i="1"/>
  <c r="JC29" i="1"/>
  <c r="JC27" i="1"/>
  <c r="JC25" i="1"/>
  <c r="JC23" i="1"/>
  <c r="JC21" i="1"/>
  <c r="JC19" i="1"/>
  <c r="JC17" i="1"/>
  <c r="JC15" i="1"/>
  <c r="JC13" i="1"/>
  <c r="JC11" i="1"/>
  <c r="JC9" i="1"/>
  <c r="JC6" i="1"/>
  <c r="JC7" i="1" s="1"/>
  <c r="JC4" i="1"/>
  <c r="JC5" i="1" s="1"/>
  <c r="JB7" i="3" l="1"/>
  <c r="JB5" i="3"/>
  <c r="JB27" i="2"/>
  <c r="JB25" i="2"/>
  <c r="JB23" i="2"/>
  <c r="JB21" i="2"/>
  <c r="JB19" i="2"/>
  <c r="JB17" i="2"/>
  <c r="JB15" i="2"/>
  <c r="JB13" i="2"/>
  <c r="JB11" i="2"/>
  <c r="JB9" i="2"/>
  <c r="JB7" i="2"/>
  <c r="JB5" i="2"/>
  <c r="JB15" i="4"/>
  <c r="JB13" i="4"/>
  <c r="JB11" i="4"/>
  <c r="JB9" i="4"/>
  <c r="JB7" i="4"/>
  <c r="JB4" i="4"/>
  <c r="JB31" i="1"/>
  <c r="JB29" i="1"/>
  <c r="JB27" i="1"/>
  <c r="JB25" i="1"/>
  <c r="JB23" i="1"/>
  <c r="JB21" i="1"/>
  <c r="JB19" i="1"/>
  <c r="JB17" i="1"/>
  <c r="JB15" i="1"/>
  <c r="JB13" i="1"/>
  <c r="JB11" i="1"/>
  <c r="JB9" i="1"/>
  <c r="JB6" i="1"/>
  <c r="JB7" i="1" s="1"/>
  <c r="JB4" i="1"/>
  <c r="JB5" i="1" s="1"/>
  <c r="JA7" i="3" l="1"/>
  <c r="JA5" i="3"/>
  <c r="JA27" i="2"/>
  <c r="JA25" i="2"/>
  <c r="JA23" i="2"/>
  <c r="JA21" i="2"/>
  <c r="JA19" i="2"/>
  <c r="JA17" i="2"/>
  <c r="JA15" i="2"/>
  <c r="JA13" i="2"/>
  <c r="JA11" i="2"/>
  <c r="JA9" i="2"/>
  <c r="JA7" i="2"/>
  <c r="JA5" i="2"/>
  <c r="JA15" i="4"/>
  <c r="JA13" i="4"/>
  <c r="JA11" i="4"/>
  <c r="JA9" i="4"/>
  <c r="JA7" i="4"/>
  <c r="JA4" i="4"/>
  <c r="JA31" i="1"/>
  <c r="JA29" i="1"/>
  <c r="JA27" i="1"/>
  <c r="JA25" i="1"/>
  <c r="JA23" i="1"/>
  <c r="JA21" i="1"/>
  <c r="JA19" i="1"/>
  <c r="JA17" i="1"/>
  <c r="JA15" i="1"/>
  <c r="JA13" i="1"/>
  <c r="JA11" i="1"/>
  <c r="JA9" i="1"/>
  <c r="JA6" i="1"/>
  <c r="JA7" i="1" s="1"/>
  <c r="JA4" i="1"/>
  <c r="JA5" i="1" s="1"/>
  <c r="IZ7" i="3" l="1"/>
  <c r="JL6" i="3"/>
  <c r="IZ5" i="3"/>
  <c r="JL4" i="3"/>
  <c r="JL5" i="3" s="1"/>
  <c r="IZ27" i="2"/>
  <c r="IZ25" i="2"/>
  <c r="IZ23" i="2"/>
  <c r="IZ21" i="2"/>
  <c r="IZ19" i="2"/>
  <c r="IZ17" i="2"/>
  <c r="IZ15" i="2"/>
  <c r="IZ13" i="2"/>
  <c r="IZ11" i="2"/>
  <c r="IZ9" i="2"/>
  <c r="IZ7" i="2"/>
  <c r="IZ5" i="2"/>
  <c r="IZ15" i="4"/>
  <c r="IZ13" i="4"/>
  <c r="IZ11" i="4"/>
  <c r="IZ9" i="4"/>
  <c r="IZ7" i="4"/>
  <c r="IZ4" i="4"/>
  <c r="IZ31" i="1"/>
  <c r="IZ29" i="1"/>
  <c r="JL28" i="1"/>
  <c r="JL29" i="1" s="1"/>
  <c r="IZ27" i="1"/>
  <c r="IZ25" i="1"/>
  <c r="JL24" i="1"/>
  <c r="JL25" i="1" s="1"/>
  <c r="IZ23" i="1"/>
  <c r="IZ21" i="1"/>
  <c r="JL20" i="1"/>
  <c r="JL21" i="1" s="1"/>
  <c r="IZ19" i="1"/>
  <c r="IZ17" i="1"/>
  <c r="JL16" i="1"/>
  <c r="JL17" i="1" s="1"/>
  <c r="IZ15" i="1"/>
  <c r="IZ13" i="1"/>
  <c r="JL12" i="1"/>
  <c r="JL13" i="1" s="1"/>
  <c r="IZ11" i="1"/>
  <c r="IZ9" i="1"/>
  <c r="JL8" i="1"/>
  <c r="JL9" i="1" s="1"/>
  <c r="IZ6" i="1"/>
  <c r="IZ7" i="1" s="1"/>
  <c r="IZ4" i="1"/>
  <c r="JL4" i="1" s="1"/>
  <c r="JL5" i="1" s="1"/>
  <c r="IZ5" i="1" l="1"/>
  <c r="IX7" i="3"/>
  <c r="IX5" i="3"/>
  <c r="IX27" i="2"/>
  <c r="IX25" i="2"/>
  <c r="IX23" i="2"/>
  <c r="IX21" i="2"/>
  <c r="IX19" i="2"/>
  <c r="IX17" i="2"/>
  <c r="IX15" i="2"/>
  <c r="IX13" i="2"/>
  <c r="IX11" i="2"/>
  <c r="IX9" i="2"/>
  <c r="IX7" i="2"/>
  <c r="IX5" i="2"/>
  <c r="IX15" i="4"/>
  <c r="IX13" i="4"/>
  <c r="IX11" i="4"/>
  <c r="IX9" i="4"/>
  <c r="IX7" i="4"/>
  <c r="IX4" i="4"/>
  <c r="IX31" i="1"/>
  <c r="IX27" i="1"/>
  <c r="IX23" i="1"/>
  <c r="IX19" i="1"/>
  <c r="IX15" i="1"/>
  <c r="IX11" i="1"/>
  <c r="IX6" i="1"/>
  <c r="IX7" i="1" s="1"/>
  <c r="IX4" i="1"/>
  <c r="IW4" i="1" l="1"/>
  <c r="IW4" i="4"/>
  <c r="IW5" i="2"/>
  <c r="IW7" i="3"/>
  <c r="IW5" i="3"/>
  <c r="IW27" i="2"/>
  <c r="IW25" i="2"/>
  <c r="IW23" i="2"/>
  <c r="IW21" i="2"/>
  <c r="IW19" i="2"/>
  <c r="IW17" i="2"/>
  <c r="IW15" i="2"/>
  <c r="IW13" i="2"/>
  <c r="IW11" i="2"/>
  <c r="IW9" i="2"/>
  <c r="IW7" i="2"/>
  <c r="IW15" i="4"/>
  <c r="IW13" i="4"/>
  <c r="IW11" i="4"/>
  <c r="IW9" i="4"/>
  <c r="IW7" i="4"/>
  <c r="IW31" i="1"/>
  <c r="IW29" i="1"/>
  <c r="IW27" i="1"/>
  <c r="IW25" i="1"/>
  <c r="IW23" i="1"/>
  <c r="IW21" i="1"/>
  <c r="IW19" i="1"/>
  <c r="IW17" i="1"/>
  <c r="IW15" i="1"/>
  <c r="IW13" i="1"/>
  <c r="IW11" i="1"/>
  <c r="IW9" i="1"/>
  <c r="IW6" i="1"/>
  <c r="IV7" i="3" l="1"/>
  <c r="IV5" i="3"/>
  <c r="IV27" i="2"/>
  <c r="IV25" i="2"/>
  <c r="IV23" i="2"/>
  <c r="IV21" i="2"/>
  <c r="IV19" i="2"/>
  <c r="IV17" i="2"/>
  <c r="IV15" i="2"/>
  <c r="IV13" i="2"/>
  <c r="IV11" i="2"/>
  <c r="IV9" i="2"/>
  <c r="IV7" i="2"/>
  <c r="IV5" i="2"/>
  <c r="IV15" i="4"/>
  <c r="IV13" i="4"/>
  <c r="IV11" i="4"/>
  <c r="IV9" i="4"/>
  <c r="IV7" i="4"/>
  <c r="IV4" i="4"/>
  <c r="IV31" i="1"/>
  <c r="IV29" i="1"/>
  <c r="IV27" i="1"/>
  <c r="IV25" i="1"/>
  <c r="IV23" i="1"/>
  <c r="IV21" i="1"/>
  <c r="IV19" i="1"/>
  <c r="IV17" i="1"/>
  <c r="IV15" i="1"/>
  <c r="IV13" i="1"/>
  <c r="IV11" i="1"/>
  <c r="IV9" i="1"/>
  <c r="IV6" i="1"/>
  <c r="IV4" i="1"/>
  <c r="IU7" i="3" l="1"/>
  <c r="IU5" i="3"/>
  <c r="IU27" i="2"/>
  <c r="IU25" i="2"/>
  <c r="IU23" i="2"/>
  <c r="IU21" i="2"/>
  <c r="IU19" i="2"/>
  <c r="IU17" i="2"/>
  <c r="IU15" i="2"/>
  <c r="IU13" i="2"/>
  <c r="IU11" i="2"/>
  <c r="IU9" i="2"/>
  <c r="IU7" i="2"/>
  <c r="IU5" i="2"/>
  <c r="IU15" i="4"/>
  <c r="IU13" i="4"/>
  <c r="IU11" i="4"/>
  <c r="IU9" i="4"/>
  <c r="IU7" i="4"/>
  <c r="IU4" i="4"/>
  <c r="IU31" i="1"/>
  <c r="IU29" i="1"/>
  <c r="IU27" i="1"/>
  <c r="IU25" i="1"/>
  <c r="IU23" i="1"/>
  <c r="IU21" i="1"/>
  <c r="IU19" i="1"/>
  <c r="IU17" i="1"/>
  <c r="IU15" i="1"/>
  <c r="IU13" i="1"/>
  <c r="IU11" i="1"/>
  <c r="IU9" i="1"/>
  <c r="IU6" i="1"/>
  <c r="IU4" i="1"/>
  <c r="IT7" i="3" l="1"/>
  <c r="IT5" i="3"/>
  <c r="IT27" i="2"/>
  <c r="IT25" i="2"/>
  <c r="IT23" i="2"/>
  <c r="IT21" i="2"/>
  <c r="IT19" i="2"/>
  <c r="IT17" i="2"/>
  <c r="IT15" i="2"/>
  <c r="IT13" i="2"/>
  <c r="IT11" i="2"/>
  <c r="IT9" i="2"/>
  <c r="IT7" i="2"/>
  <c r="IT5" i="2"/>
  <c r="IT15" i="4"/>
  <c r="IT13" i="4"/>
  <c r="IT11" i="4"/>
  <c r="IT9" i="4"/>
  <c r="IT7" i="4"/>
  <c r="IT4" i="4"/>
  <c r="IT31" i="1"/>
  <c r="IT29" i="1"/>
  <c r="IT27" i="1"/>
  <c r="IT25" i="1"/>
  <c r="IT23" i="1"/>
  <c r="IT21" i="1"/>
  <c r="IT19" i="1"/>
  <c r="IT17" i="1"/>
  <c r="IT15" i="1"/>
  <c r="IT13" i="1"/>
  <c r="IT11" i="1"/>
  <c r="IT9" i="1"/>
  <c r="IT6" i="1"/>
  <c r="IT4" i="1"/>
  <c r="IS7" i="3" l="1"/>
  <c r="IS5" i="3"/>
  <c r="IS27" i="2"/>
  <c r="IS25" i="2"/>
  <c r="IS23" i="2"/>
  <c r="IS21" i="2"/>
  <c r="IS19" i="2"/>
  <c r="IS17" i="2"/>
  <c r="IS15" i="2"/>
  <c r="IS13" i="2"/>
  <c r="IS11" i="2"/>
  <c r="IS9" i="2"/>
  <c r="IS7" i="2"/>
  <c r="IS5" i="2"/>
  <c r="IS15" i="4"/>
  <c r="IS13" i="4"/>
  <c r="IS11" i="4"/>
  <c r="IS9" i="4"/>
  <c r="IS7" i="4"/>
  <c r="IS4" i="4"/>
  <c r="IS31" i="1"/>
  <c r="IS29" i="1"/>
  <c r="IS27" i="1"/>
  <c r="IS25" i="1"/>
  <c r="IS23" i="1"/>
  <c r="IS21" i="1"/>
  <c r="IS19" i="1"/>
  <c r="IS17" i="1"/>
  <c r="IS15" i="1"/>
  <c r="IS13" i="1"/>
  <c r="IS11" i="1"/>
  <c r="IS9" i="1"/>
  <c r="IS6" i="1"/>
  <c r="IS4" i="1"/>
  <c r="IR7" i="2" l="1"/>
  <c r="IR5" i="2"/>
  <c r="IQ7" i="3"/>
  <c r="IR7" i="3"/>
  <c r="IR5" i="3"/>
  <c r="IR27" i="2"/>
  <c r="IR25" i="2"/>
  <c r="IR23" i="2"/>
  <c r="IR21" i="2"/>
  <c r="IR19" i="2"/>
  <c r="IR17" i="2"/>
  <c r="IR15" i="2"/>
  <c r="IR13" i="2"/>
  <c r="IR11" i="2"/>
  <c r="IR9" i="2"/>
  <c r="IR15" i="4"/>
  <c r="IR13" i="4"/>
  <c r="IR11" i="4"/>
  <c r="IR9" i="4"/>
  <c r="IR7" i="4"/>
  <c r="IR4" i="4"/>
  <c r="JE5" i="4" s="1"/>
  <c r="IR31" i="1"/>
  <c r="IR29" i="1"/>
  <c r="IR27" i="1"/>
  <c r="IR25" i="1"/>
  <c r="IR23" i="1"/>
  <c r="IR21" i="1"/>
  <c r="IR19" i="1"/>
  <c r="IR17" i="1"/>
  <c r="IR15" i="1"/>
  <c r="IR13" i="1"/>
  <c r="IR11" i="1"/>
  <c r="IR9" i="1"/>
  <c r="IR6" i="1"/>
  <c r="IR4" i="1"/>
  <c r="IQ5" i="3" l="1"/>
  <c r="IQ27" i="2"/>
  <c r="IQ25" i="2"/>
  <c r="IQ23" i="2"/>
  <c r="IQ21" i="2"/>
  <c r="IQ19" i="2"/>
  <c r="IQ17" i="2"/>
  <c r="IQ15" i="2"/>
  <c r="IQ13" i="2"/>
  <c r="IQ11" i="2"/>
  <c r="IQ9" i="2"/>
  <c r="IQ7" i="2"/>
  <c r="IQ5" i="2"/>
  <c r="IQ15" i="4"/>
  <c r="IQ13" i="4"/>
  <c r="IQ11" i="4"/>
  <c r="IQ9" i="4"/>
  <c r="IQ7" i="4"/>
  <c r="IQ4" i="4"/>
  <c r="JD5" i="4" s="1"/>
  <c r="IQ31" i="1"/>
  <c r="IQ29" i="1"/>
  <c r="IQ27" i="1"/>
  <c r="IQ25" i="1"/>
  <c r="IQ23" i="1"/>
  <c r="IQ21" i="1"/>
  <c r="IQ19" i="1"/>
  <c r="IQ17" i="1"/>
  <c r="IQ15" i="1"/>
  <c r="IQ13" i="1"/>
  <c r="IQ11" i="1"/>
  <c r="IQ9" i="1"/>
  <c r="IQ6" i="1"/>
  <c r="IQ4" i="1"/>
  <c r="IP7" i="3" l="1"/>
  <c r="IP5" i="3"/>
  <c r="IP27" i="2"/>
  <c r="IP25" i="2"/>
  <c r="IP23" i="2"/>
  <c r="IP21" i="2"/>
  <c r="IP19" i="2"/>
  <c r="IP17" i="2"/>
  <c r="IP15" i="2"/>
  <c r="IP13" i="2"/>
  <c r="IP11" i="2"/>
  <c r="IP9" i="2"/>
  <c r="IP7" i="2"/>
  <c r="IP5" i="2"/>
  <c r="IP15" i="4"/>
  <c r="IP13" i="4"/>
  <c r="IP11" i="4"/>
  <c r="IP9" i="4"/>
  <c r="IP7" i="4"/>
  <c r="IP4" i="4"/>
  <c r="JC5" i="4" s="1"/>
  <c r="IP31" i="1"/>
  <c r="IP29" i="1"/>
  <c r="IP27" i="1"/>
  <c r="IP25" i="1"/>
  <c r="IP23" i="1"/>
  <c r="IP21" i="1"/>
  <c r="IP19" i="1"/>
  <c r="IP17" i="1"/>
  <c r="IP15" i="1"/>
  <c r="IP13" i="1"/>
  <c r="IP11" i="1"/>
  <c r="IP9" i="1"/>
  <c r="IP6" i="1"/>
  <c r="IP4" i="1"/>
  <c r="IO31" i="1" l="1"/>
  <c r="IO29" i="1"/>
  <c r="IO27" i="1"/>
  <c r="IO25" i="1"/>
  <c r="IO23" i="1"/>
  <c r="IO21" i="1"/>
  <c r="IO19" i="1"/>
  <c r="IO17" i="1"/>
  <c r="IO15" i="1"/>
  <c r="IO13" i="1"/>
  <c r="IO11" i="1"/>
  <c r="IO9" i="1"/>
  <c r="IO6" i="1"/>
  <c r="IO4" i="1"/>
  <c r="IO7" i="3"/>
  <c r="IO5" i="3"/>
  <c r="IO27" i="2"/>
  <c r="IO25" i="2"/>
  <c r="IO23" i="2"/>
  <c r="IO21" i="2"/>
  <c r="IO19" i="2"/>
  <c r="IO17" i="2"/>
  <c r="IO15" i="2"/>
  <c r="IO13" i="2"/>
  <c r="IO11" i="2"/>
  <c r="IO9" i="2"/>
  <c r="IO7" i="2"/>
  <c r="IO5" i="2"/>
  <c r="IO15" i="4"/>
  <c r="IO13" i="4"/>
  <c r="IO11" i="4"/>
  <c r="IO9" i="4"/>
  <c r="IO7" i="4"/>
  <c r="IO4" i="4"/>
  <c r="JB5" i="4" s="1"/>
  <c r="IN7" i="3" l="1"/>
  <c r="IN5" i="3"/>
  <c r="IN27" i="2"/>
  <c r="IN25" i="2"/>
  <c r="IN23" i="2"/>
  <c r="IN21" i="2"/>
  <c r="IN19" i="2"/>
  <c r="IN17" i="2"/>
  <c r="IN15" i="2"/>
  <c r="IN13" i="2"/>
  <c r="IN11" i="2"/>
  <c r="IN9" i="2"/>
  <c r="IN7" i="2"/>
  <c r="IN5" i="2"/>
  <c r="IN15" i="4"/>
  <c r="IN13" i="4"/>
  <c r="IN11" i="4"/>
  <c r="IN9" i="4"/>
  <c r="IN7" i="4"/>
  <c r="IN4" i="4"/>
  <c r="JA5" i="4" s="1"/>
  <c r="IN31" i="1" l="1"/>
  <c r="IN29" i="1"/>
  <c r="IN27" i="1"/>
  <c r="IN25" i="1"/>
  <c r="IN23" i="1"/>
  <c r="IN21" i="1"/>
  <c r="IN19" i="1"/>
  <c r="IN17" i="1"/>
  <c r="IN15" i="1"/>
  <c r="IN13" i="1"/>
  <c r="IN11" i="1"/>
  <c r="IN9" i="1"/>
  <c r="IN6" i="1"/>
  <c r="IN4" i="1"/>
  <c r="IM11" i="1"/>
  <c r="IM9" i="1"/>
  <c r="IM5" i="3" l="1"/>
  <c r="IM7" i="3"/>
  <c r="IY6" i="3"/>
  <c r="IY4" i="3"/>
  <c r="IK7" i="3"/>
  <c r="IJ7" i="3"/>
  <c r="II7" i="3"/>
  <c r="IH7" i="3"/>
  <c r="IG7" i="3"/>
  <c r="IF7" i="3"/>
  <c r="IE7" i="3"/>
  <c r="ID7" i="3"/>
  <c r="IC7" i="3"/>
  <c r="IB7" i="3"/>
  <c r="IA7" i="3"/>
  <c r="HZ7" i="3"/>
  <c r="IA5" i="3"/>
  <c r="IB5" i="3"/>
  <c r="IC5" i="3"/>
  <c r="ID5" i="3"/>
  <c r="IE5" i="3"/>
  <c r="IF5" i="3"/>
  <c r="IG5" i="3"/>
  <c r="IH5" i="3"/>
  <c r="II5" i="3"/>
  <c r="IJ5" i="3"/>
  <c r="IK5" i="3"/>
  <c r="HZ5" i="3"/>
  <c r="IL6" i="3"/>
  <c r="IL4" i="3"/>
  <c r="IM17" i="2"/>
  <c r="IM27" i="2"/>
  <c r="IM25" i="2"/>
  <c r="IM23" i="2"/>
  <c r="IM21" i="2"/>
  <c r="IM19" i="2"/>
  <c r="IM15" i="2"/>
  <c r="IM13" i="2"/>
  <c r="IM11" i="2"/>
  <c r="IM9" i="2"/>
  <c r="IM7" i="2"/>
  <c r="IM5" i="2"/>
  <c r="IY26" i="2"/>
  <c r="IY24" i="2"/>
  <c r="IY22" i="2"/>
  <c r="IY20" i="2"/>
  <c r="IY18" i="2"/>
  <c r="IY16" i="2"/>
  <c r="IY14" i="2"/>
  <c r="IY12" i="2"/>
  <c r="IY10" i="2"/>
  <c r="IY8" i="2"/>
  <c r="IY6" i="2"/>
  <c r="IY4" i="2"/>
  <c r="II15" i="2"/>
  <c r="IK15" i="2"/>
  <c r="IK27" i="2"/>
  <c r="IK25" i="2"/>
  <c r="IK23" i="2"/>
  <c r="IK21" i="2"/>
  <c r="IK19" i="2"/>
  <c r="IK17" i="2"/>
  <c r="IK13" i="2"/>
  <c r="IK11" i="2"/>
  <c r="IK9" i="2"/>
  <c r="IK7" i="2"/>
  <c r="IK5" i="2"/>
  <c r="IJ27" i="2"/>
  <c r="IJ25" i="2"/>
  <c r="IJ23" i="2"/>
  <c r="IJ21" i="2"/>
  <c r="IJ19" i="2"/>
  <c r="IJ17" i="2"/>
  <c r="IJ15" i="2"/>
  <c r="IJ13" i="2"/>
  <c r="IJ11" i="2"/>
  <c r="IJ9" i="2"/>
  <c r="IJ7" i="2"/>
  <c r="IJ5" i="2"/>
  <c r="II27" i="2"/>
  <c r="II25" i="2"/>
  <c r="II23" i="2"/>
  <c r="II21" i="2"/>
  <c r="II19" i="2"/>
  <c r="II17" i="2"/>
  <c r="II13" i="2"/>
  <c r="II11" i="2"/>
  <c r="II9" i="2"/>
  <c r="II7" i="2"/>
  <c r="II5" i="2"/>
  <c r="IH27" i="2"/>
  <c r="IH25" i="2"/>
  <c r="IH23" i="2"/>
  <c r="IH21" i="2"/>
  <c r="IH19" i="2"/>
  <c r="IH17" i="2"/>
  <c r="IH15" i="2"/>
  <c r="IH13" i="2"/>
  <c r="IH11" i="2"/>
  <c r="IH9" i="2"/>
  <c r="IH7" i="2"/>
  <c r="IH5" i="2"/>
  <c r="IG27" i="2"/>
  <c r="IG25" i="2"/>
  <c r="IG23" i="2"/>
  <c r="IG21" i="2"/>
  <c r="IG19" i="2"/>
  <c r="IG17" i="2"/>
  <c r="IG15" i="2"/>
  <c r="IG13" i="2"/>
  <c r="IG11" i="2"/>
  <c r="IG9" i="2"/>
  <c r="IG7" i="2"/>
  <c r="IG5" i="2"/>
  <c r="IF27" i="2"/>
  <c r="IF25" i="2"/>
  <c r="IF23" i="2"/>
  <c r="IF21" i="2"/>
  <c r="IF19" i="2"/>
  <c r="IF17" i="2"/>
  <c r="IF15" i="2"/>
  <c r="IF13" i="2"/>
  <c r="IF11" i="2"/>
  <c r="IF9" i="2"/>
  <c r="IF7" i="2"/>
  <c r="IF5" i="2"/>
  <c r="IE27" i="2"/>
  <c r="IE25" i="2"/>
  <c r="IE23" i="2"/>
  <c r="IE21" i="2"/>
  <c r="IE19" i="2"/>
  <c r="IE17" i="2"/>
  <c r="IE15" i="2"/>
  <c r="IE13" i="2"/>
  <c r="IE11" i="2"/>
  <c r="IE9" i="2"/>
  <c r="IE7" i="2"/>
  <c r="IE5" i="2"/>
  <c r="ID27" i="2"/>
  <c r="ID25" i="2"/>
  <c r="ID23" i="2"/>
  <c r="ID21" i="2"/>
  <c r="ID19" i="2"/>
  <c r="ID17" i="2"/>
  <c r="ID15" i="2"/>
  <c r="ID13" i="2"/>
  <c r="ID11" i="2"/>
  <c r="ID9" i="2"/>
  <c r="ID7" i="2"/>
  <c r="ID5" i="2"/>
  <c r="IC27" i="2"/>
  <c r="IC25" i="2"/>
  <c r="IC23" i="2"/>
  <c r="IC21" i="2"/>
  <c r="IC19" i="2"/>
  <c r="IC17" i="2"/>
  <c r="IC15" i="2"/>
  <c r="IC13" i="2"/>
  <c r="IC11" i="2"/>
  <c r="IC9" i="2"/>
  <c r="IC7" i="2"/>
  <c r="IC5" i="2"/>
  <c r="IB9" i="2"/>
  <c r="IB7" i="2"/>
  <c r="IB27" i="2"/>
  <c r="IB25" i="2"/>
  <c r="IB23" i="2"/>
  <c r="IB21" i="2"/>
  <c r="IB19" i="2"/>
  <c r="IB17" i="2"/>
  <c r="IB15" i="2"/>
  <c r="IB13" i="2"/>
  <c r="IB11" i="2"/>
  <c r="IB5" i="2"/>
  <c r="IA27" i="2"/>
  <c r="IA25" i="2"/>
  <c r="IA23" i="2"/>
  <c r="IA21" i="2"/>
  <c r="IA19" i="2"/>
  <c r="IA17" i="2"/>
  <c r="IA15" i="2"/>
  <c r="IA13" i="2"/>
  <c r="IA11" i="2"/>
  <c r="IA9" i="2"/>
  <c r="IA7" i="2"/>
  <c r="IA5" i="2"/>
  <c r="HZ27" i="2"/>
  <c r="HZ25" i="2"/>
  <c r="HZ23" i="2"/>
  <c r="HZ21" i="2"/>
  <c r="HZ19" i="2"/>
  <c r="HZ17" i="2"/>
  <c r="HZ15" i="2"/>
  <c r="HZ13" i="2"/>
  <c r="HZ11" i="2"/>
  <c r="IY7" i="2" l="1"/>
  <c r="IY5" i="3"/>
  <c r="HZ9" i="2"/>
  <c r="HZ7" i="2"/>
  <c r="HZ5" i="2"/>
  <c r="HX7" i="2"/>
  <c r="HW7" i="2"/>
  <c r="HV7" i="2"/>
  <c r="HU7" i="2"/>
  <c r="HT7" i="2"/>
  <c r="HS7" i="2"/>
  <c r="HR7" i="2"/>
  <c r="HQ7" i="2"/>
  <c r="HP7" i="2"/>
  <c r="HO7" i="2"/>
  <c r="HN7" i="2"/>
  <c r="HM7" i="2"/>
  <c r="HX5" i="2"/>
  <c r="HW5" i="2"/>
  <c r="HV5" i="2"/>
  <c r="HU5" i="2"/>
  <c r="HT5" i="2"/>
  <c r="HS5" i="2"/>
  <c r="HR5" i="2"/>
  <c r="HQ5" i="2"/>
  <c r="HP5" i="2"/>
  <c r="HO5" i="2"/>
  <c r="HN5" i="2"/>
  <c r="HM5" i="2"/>
  <c r="IL26" i="2"/>
  <c r="IY27" i="2" s="1"/>
  <c r="IL24" i="2"/>
  <c r="IY25" i="2" s="1"/>
  <c r="IL22" i="2"/>
  <c r="IY23" i="2" s="1"/>
  <c r="IL20" i="2"/>
  <c r="IY21" i="2" s="1"/>
  <c r="IL18" i="2"/>
  <c r="IY19" i="2" s="1"/>
  <c r="IL16" i="2"/>
  <c r="IY17" i="2" s="1"/>
  <c r="IL14" i="2"/>
  <c r="IY15" i="2" s="1"/>
  <c r="IL12" i="2"/>
  <c r="IY13" i="2" s="1"/>
  <c r="IL10" i="2"/>
  <c r="IY11" i="2" s="1"/>
  <c r="IL8" i="2"/>
  <c r="IY9" i="2" s="1"/>
  <c r="IL6" i="2"/>
  <c r="IL4" i="2"/>
  <c r="IY5" i="2" s="1"/>
  <c r="IM15" i="4"/>
  <c r="IM13" i="4"/>
  <c r="IM11" i="4"/>
  <c r="IM9" i="4"/>
  <c r="IM7" i="4"/>
  <c r="IY14" i="4"/>
  <c r="IY12" i="4"/>
  <c r="IY10" i="4"/>
  <c r="IY8" i="4"/>
  <c r="IY6" i="4"/>
  <c r="IM4" i="4"/>
  <c r="IL15" i="4"/>
  <c r="IL13" i="4"/>
  <c r="IL11" i="4"/>
  <c r="IL9" i="4"/>
  <c r="IL7" i="4"/>
  <c r="IL5" i="4"/>
  <c r="IK15" i="4"/>
  <c r="IK13" i="4"/>
  <c r="IK11" i="4"/>
  <c r="IK9" i="4"/>
  <c r="IK7" i="4"/>
  <c r="IK5" i="4"/>
  <c r="IJ15" i="4"/>
  <c r="IJ13" i="4"/>
  <c r="IJ11" i="4"/>
  <c r="IJ9" i="4"/>
  <c r="IJ7" i="4"/>
  <c r="IJ5" i="4"/>
  <c r="II15" i="4"/>
  <c r="II13" i="4"/>
  <c r="II11" i="4"/>
  <c r="II9" i="4"/>
  <c r="II7" i="4"/>
  <c r="II5" i="4"/>
  <c r="IH15" i="4"/>
  <c r="IH13" i="4"/>
  <c r="IH11" i="4"/>
  <c r="IH9" i="4"/>
  <c r="IH7" i="4"/>
  <c r="IH5" i="4"/>
  <c r="IG15" i="4"/>
  <c r="IG13" i="4"/>
  <c r="IG11" i="4"/>
  <c r="IG9" i="4"/>
  <c r="IG7" i="4"/>
  <c r="IG5" i="4"/>
  <c r="IF15" i="4"/>
  <c r="IF13" i="4"/>
  <c r="IF11" i="4"/>
  <c r="IF9" i="4"/>
  <c r="IF7" i="4"/>
  <c r="IF5" i="4"/>
  <c r="IE15" i="4"/>
  <c r="IE13" i="4"/>
  <c r="IE11" i="4"/>
  <c r="IE9" i="4"/>
  <c r="IE7" i="4"/>
  <c r="IE5" i="4"/>
  <c r="ID15" i="4"/>
  <c r="ID13" i="4"/>
  <c r="ID11" i="4"/>
  <c r="ID9" i="4"/>
  <c r="ID7" i="4"/>
  <c r="ID5" i="4"/>
  <c r="IC15" i="4"/>
  <c r="IC13" i="4"/>
  <c r="IC11" i="4"/>
  <c r="IC9" i="4"/>
  <c r="IC7" i="4"/>
  <c r="IC5" i="4"/>
  <c r="IB15" i="4"/>
  <c r="IB13" i="4"/>
  <c r="IB11" i="4"/>
  <c r="IB9" i="4"/>
  <c r="IB7" i="4"/>
  <c r="IB5" i="4"/>
  <c r="IA15" i="4"/>
  <c r="IA13" i="4"/>
  <c r="IA11" i="4"/>
  <c r="IA9" i="4"/>
  <c r="IA7" i="4"/>
  <c r="IA5" i="4"/>
  <c r="HZ15" i="4"/>
  <c r="HZ13" i="4"/>
  <c r="HZ11" i="4"/>
  <c r="HZ9" i="4"/>
  <c r="HZ7" i="4"/>
  <c r="HZ5" i="4"/>
  <c r="IK4" i="4"/>
  <c r="IX5" i="4" s="1"/>
  <c r="IJ4" i="4"/>
  <c r="IW5" i="4" s="1"/>
  <c r="II4" i="4"/>
  <c r="IV5" i="4" s="1"/>
  <c r="IH4" i="4"/>
  <c r="IU5" i="4" s="1"/>
  <c r="IG4" i="4"/>
  <c r="IT5" i="4" s="1"/>
  <c r="IF4" i="4"/>
  <c r="IS5" i="4" s="1"/>
  <c r="IE4" i="4"/>
  <c r="IR5" i="4" s="1"/>
  <c r="ID4" i="4"/>
  <c r="IQ5" i="4" s="1"/>
  <c r="IC4" i="4"/>
  <c r="IP5" i="4" s="1"/>
  <c r="IB4" i="4"/>
  <c r="IO5" i="4" s="1"/>
  <c r="IA4" i="4"/>
  <c r="IN5" i="4" s="1"/>
  <c r="HZ4" i="4"/>
  <c r="IL8" i="4"/>
  <c r="IA4" i="1"/>
  <c r="IN5" i="1" s="1"/>
  <c r="IB4" i="1"/>
  <c r="IO5" i="1" s="1"/>
  <c r="IC4" i="1"/>
  <c r="IP5" i="1" s="1"/>
  <c r="ID4" i="1"/>
  <c r="IQ5" i="1" s="1"/>
  <c r="IE4" i="1"/>
  <c r="IR5" i="1" s="1"/>
  <c r="IF4" i="1"/>
  <c r="IS5" i="1" s="1"/>
  <c r="IG4" i="1"/>
  <c r="IT5" i="1" s="1"/>
  <c r="IH4" i="1"/>
  <c r="IU5" i="1" s="1"/>
  <c r="II4" i="1"/>
  <c r="IV5" i="1" s="1"/>
  <c r="IJ4" i="1"/>
  <c r="IW5" i="1" s="1"/>
  <c r="HZ4" i="1"/>
  <c r="IL14" i="4"/>
  <c r="IL12" i="4"/>
  <c r="IL10" i="4"/>
  <c r="IL6" i="4"/>
  <c r="IY7" i="4" l="1"/>
  <c r="IY4" i="4"/>
  <c r="IZ5" i="4"/>
  <c r="IY11" i="4"/>
  <c r="IY15" i="4"/>
  <c r="IY9" i="4"/>
  <c r="IY13" i="4"/>
  <c r="IM5" i="4"/>
  <c r="IM31" i="1"/>
  <c r="IM27" i="1"/>
  <c r="IM23" i="1"/>
  <c r="IM19" i="1"/>
  <c r="IM7" i="1"/>
  <c r="IL31" i="1"/>
  <c r="IL27" i="1"/>
  <c r="IL23" i="1"/>
  <c r="IL19" i="1"/>
  <c r="IL15" i="1"/>
  <c r="IL11" i="1"/>
  <c r="IK31" i="1"/>
  <c r="IK27" i="1"/>
  <c r="IK23" i="1"/>
  <c r="IK19" i="1"/>
  <c r="IK15" i="1"/>
  <c r="IK11" i="1"/>
  <c r="IJ31" i="1"/>
  <c r="IJ27" i="1"/>
  <c r="IJ23" i="1"/>
  <c r="IJ19" i="1"/>
  <c r="IJ15" i="1"/>
  <c r="IJ11" i="1"/>
  <c r="II31" i="1"/>
  <c r="II27" i="1"/>
  <c r="II23" i="1"/>
  <c r="II19" i="1"/>
  <c r="II15" i="1"/>
  <c r="II11" i="1"/>
  <c r="IJ7" i="1"/>
  <c r="IH23" i="1"/>
  <c r="IH19" i="1"/>
  <c r="IH15" i="1"/>
  <c r="IH11" i="1"/>
  <c r="IG31" i="1"/>
  <c r="IG27" i="1"/>
  <c r="IG23" i="1"/>
  <c r="IG19" i="1"/>
  <c r="IG15" i="1"/>
  <c r="IG11" i="1"/>
  <c r="IF31" i="1"/>
  <c r="IF27" i="1"/>
  <c r="IF23" i="1"/>
  <c r="IF19" i="1"/>
  <c r="IF15" i="1"/>
  <c r="IF11" i="1"/>
  <c r="IE31" i="1"/>
  <c r="IE27" i="1"/>
  <c r="IE23" i="1"/>
  <c r="IE19" i="1"/>
  <c r="IE15" i="1"/>
  <c r="IE11" i="1"/>
  <c r="ID31" i="1"/>
  <c r="ID27" i="1"/>
  <c r="ID23" i="1"/>
  <c r="ID19" i="1"/>
  <c r="ID15" i="1"/>
  <c r="ID11" i="1"/>
  <c r="IC31" i="1"/>
  <c r="IC27" i="1"/>
  <c r="IC23" i="1"/>
  <c r="IC19" i="1"/>
  <c r="IC15" i="1"/>
  <c r="IC11" i="1"/>
  <c r="IB27" i="1"/>
  <c r="IB31" i="1"/>
  <c r="IB23" i="1"/>
  <c r="IB19" i="1"/>
  <c r="IB15" i="1"/>
  <c r="IB11" i="1"/>
  <c r="IA31" i="1"/>
  <c r="IA27" i="1"/>
  <c r="IA23" i="1"/>
  <c r="IA19" i="1"/>
  <c r="IA15" i="1"/>
  <c r="IA11" i="1"/>
  <c r="HZ31" i="1"/>
  <c r="HZ27" i="1"/>
  <c r="HZ23" i="1"/>
  <c r="HZ19" i="1"/>
  <c r="HZ15" i="1"/>
  <c r="HZ11" i="1"/>
  <c r="IH31" i="1"/>
  <c r="IH27" i="1"/>
  <c r="IJ29" i="1"/>
  <c r="II29" i="1"/>
  <c r="IH29" i="1"/>
  <c r="IG29" i="1"/>
  <c r="IF29" i="1"/>
  <c r="IE29" i="1"/>
  <c r="ID29" i="1"/>
  <c r="IC29" i="1"/>
  <c r="IB29" i="1"/>
  <c r="IA29" i="1"/>
  <c r="HZ29" i="1"/>
  <c r="IJ25" i="1"/>
  <c r="II25" i="1"/>
  <c r="IH25" i="1"/>
  <c r="IG25" i="1"/>
  <c r="IF25" i="1"/>
  <c r="IE25" i="1"/>
  <c r="ID25" i="1"/>
  <c r="IC25" i="1"/>
  <c r="IB25" i="1"/>
  <c r="IA25" i="1"/>
  <c r="HZ25" i="1"/>
  <c r="IJ21" i="1"/>
  <c r="II21" i="1"/>
  <c r="IH21" i="1"/>
  <c r="IG21" i="1"/>
  <c r="IF21" i="1"/>
  <c r="IE21" i="1"/>
  <c r="ID21" i="1"/>
  <c r="IC21" i="1"/>
  <c r="IB21" i="1"/>
  <c r="IA21" i="1"/>
  <c r="HZ21" i="1"/>
  <c r="IJ17" i="1"/>
  <c r="II17" i="1"/>
  <c r="IH17" i="1"/>
  <c r="IG17" i="1"/>
  <c r="IF17" i="1"/>
  <c r="IE17" i="1"/>
  <c r="ID17" i="1"/>
  <c r="IC17" i="1"/>
  <c r="IB17" i="1"/>
  <c r="IA17" i="1"/>
  <c r="HZ17" i="1"/>
  <c r="IJ13" i="1"/>
  <c r="II13" i="1"/>
  <c r="IH13" i="1"/>
  <c r="IG13" i="1"/>
  <c r="IF13" i="1"/>
  <c r="IE13" i="1"/>
  <c r="ID13" i="1"/>
  <c r="IC13" i="1"/>
  <c r="IB13" i="1"/>
  <c r="IA13" i="1"/>
  <c r="HZ13" i="1"/>
  <c r="IJ9" i="1"/>
  <c r="II9" i="1"/>
  <c r="IH9" i="1"/>
  <c r="IG9" i="1"/>
  <c r="IF9" i="1"/>
  <c r="IE9" i="1"/>
  <c r="ID9" i="1"/>
  <c r="IC9" i="1"/>
  <c r="IB9" i="1"/>
  <c r="IA9" i="1"/>
  <c r="HZ9" i="1"/>
  <c r="IK7" i="1"/>
  <c r="IL7" i="1" l="1"/>
  <c r="II7" i="1"/>
  <c r="IH7" i="1"/>
  <c r="IG7" i="1"/>
  <c r="IF7" i="1"/>
  <c r="IE7" i="1"/>
  <c r="IC7" i="1"/>
  <c r="ID7" i="1"/>
  <c r="IB7" i="1"/>
  <c r="IA7" i="1"/>
  <c r="HZ7" i="1"/>
  <c r="IA6" i="1"/>
  <c r="IN7" i="1" s="1"/>
  <c r="IB6" i="1"/>
  <c r="IO7" i="1" s="1"/>
  <c r="IC6" i="1"/>
  <c r="IP7" i="1" s="1"/>
  <c r="ID6" i="1"/>
  <c r="IQ7" i="1" s="1"/>
  <c r="IE6" i="1"/>
  <c r="IR7" i="1" s="1"/>
  <c r="IF6" i="1"/>
  <c r="IS7" i="1" s="1"/>
  <c r="IG6" i="1"/>
  <c r="IT7" i="1" s="1"/>
  <c r="IH6" i="1"/>
  <c r="IU7" i="1" s="1"/>
  <c r="II6" i="1"/>
  <c r="IV7" i="1" s="1"/>
  <c r="IJ6" i="1"/>
  <c r="IW7" i="1" s="1"/>
  <c r="IK6" i="1"/>
  <c r="HZ6" i="1"/>
  <c r="IM15" i="1" l="1"/>
  <c r="IM29" i="1"/>
  <c r="IM25" i="1"/>
  <c r="IM21" i="1"/>
  <c r="IM17" i="1"/>
  <c r="IM13" i="1"/>
  <c r="IM6" i="1"/>
  <c r="IM4" i="1"/>
  <c r="IM5" i="1" s="1"/>
  <c r="IY4" i="1" l="1"/>
  <c r="IY8" i="1"/>
  <c r="IY10" i="1"/>
  <c r="IY12" i="1"/>
  <c r="IY16" i="1"/>
  <c r="IY18" i="1"/>
  <c r="IY20" i="1"/>
  <c r="IY22" i="1"/>
  <c r="IY24" i="1"/>
  <c r="IY26" i="1"/>
  <c r="IY28" i="1"/>
  <c r="IY30" i="1"/>
  <c r="IY6" i="1"/>
  <c r="IY14" i="1"/>
  <c r="IL30" i="1"/>
  <c r="IL26" i="1"/>
  <c r="IL22" i="1"/>
  <c r="IL18" i="1"/>
  <c r="IL14" i="1"/>
  <c r="IL10" i="1"/>
  <c r="IY31" i="1" l="1"/>
  <c r="IY27" i="1"/>
  <c r="IY23" i="1"/>
  <c r="IY19" i="1"/>
  <c r="IY15" i="1"/>
  <c r="IY11" i="1"/>
  <c r="IK28" i="1"/>
  <c r="IX29" i="1" s="1"/>
  <c r="IK24" i="1"/>
  <c r="IX25" i="1" s="1"/>
  <c r="IK20" i="1"/>
  <c r="IX21" i="1" s="1"/>
  <c r="IK16" i="1"/>
  <c r="IX17" i="1" s="1"/>
  <c r="IK12" i="1"/>
  <c r="IX13" i="1" s="1"/>
  <c r="IK8" i="1"/>
  <c r="IX9" i="1" s="1"/>
  <c r="IK4" i="1" l="1"/>
  <c r="IX5" i="1" s="1"/>
  <c r="IK9" i="1"/>
  <c r="IL8" i="1"/>
  <c r="IK13" i="1"/>
  <c r="IL12" i="1"/>
  <c r="IK17" i="1"/>
  <c r="IL16" i="1"/>
  <c r="IK21" i="1"/>
  <c r="IL20" i="1"/>
  <c r="IK25" i="1"/>
  <c r="IL24" i="1"/>
  <c r="IK29" i="1"/>
  <c r="IL28" i="1"/>
  <c r="HY26" i="2"/>
  <c r="IL27" i="2" s="1"/>
  <c r="HY24" i="2"/>
  <c r="HY22" i="2"/>
  <c r="IL23" i="2" s="1"/>
  <c r="HY20" i="2"/>
  <c r="IL21" i="2" s="1"/>
  <c r="HY18" i="2"/>
  <c r="IL19" i="2" s="1"/>
  <c r="HY16" i="2"/>
  <c r="IL17" i="2" s="1"/>
  <c r="HY14" i="2"/>
  <c r="IL15" i="2" s="1"/>
  <c r="HY12" i="2"/>
  <c r="HY10" i="2"/>
  <c r="IL11" i="2" s="1"/>
  <c r="HY8" i="2"/>
  <c r="HY6" i="2"/>
  <c r="HY4" i="2"/>
  <c r="HY14" i="4"/>
  <c r="HY12" i="4"/>
  <c r="HY10" i="4"/>
  <c r="HY8" i="4"/>
  <c r="HY6" i="4"/>
  <c r="HY30" i="1"/>
  <c r="HY28" i="1"/>
  <c r="HY26" i="1"/>
  <c r="HY24" i="1"/>
  <c r="HY22" i="1"/>
  <c r="HY20" i="1"/>
  <c r="HY18" i="1"/>
  <c r="HY16" i="1"/>
  <c r="HY14" i="1"/>
  <c r="HY12" i="1"/>
  <c r="HY10" i="1"/>
  <c r="HY8" i="1"/>
  <c r="HY6" i="3"/>
  <c r="IL7" i="3" s="1"/>
  <c r="HY4" i="3"/>
  <c r="IL5" i="3" s="1"/>
  <c r="HX4" i="4"/>
  <c r="HX6" i="1"/>
  <c r="HX4" i="1"/>
  <c r="HX7" i="3"/>
  <c r="HX5" i="3"/>
  <c r="HX27" i="2"/>
  <c r="HX25" i="2"/>
  <c r="HX23" i="2"/>
  <c r="HX21" i="2"/>
  <c r="HX19" i="2"/>
  <c r="HX17" i="2"/>
  <c r="HX15" i="2"/>
  <c r="HX13" i="2"/>
  <c r="HX11" i="2"/>
  <c r="HX9" i="2"/>
  <c r="HX9" i="4"/>
  <c r="HX15" i="4"/>
  <c r="HX13" i="4"/>
  <c r="HX11" i="4"/>
  <c r="HX7" i="4"/>
  <c r="HX31" i="1"/>
  <c r="HX29" i="1"/>
  <c r="HX27" i="1"/>
  <c r="HX25" i="1"/>
  <c r="HX23" i="1"/>
  <c r="HX21" i="1"/>
  <c r="HX19" i="1"/>
  <c r="HX17" i="1"/>
  <c r="HX15" i="1"/>
  <c r="HX13" i="1"/>
  <c r="HX11" i="1"/>
  <c r="HX9" i="1"/>
  <c r="HW4" i="4"/>
  <c r="HW6" i="1"/>
  <c r="HW4" i="1"/>
  <c r="IJ5" i="1" s="1"/>
  <c r="HW7" i="3"/>
  <c r="HW5" i="3"/>
  <c r="HW27" i="2"/>
  <c r="HW25" i="2"/>
  <c r="HW23" i="2"/>
  <c r="HW21" i="2"/>
  <c r="HW19" i="2"/>
  <c r="HW17" i="2"/>
  <c r="HW15" i="2"/>
  <c r="HW13" i="2"/>
  <c r="HW11" i="2"/>
  <c r="HW9" i="2"/>
  <c r="HW15" i="4"/>
  <c r="HW13" i="4"/>
  <c r="HW11" i="4"/>
  <c r="HW9" i="4"/>
  <c r="HW7" i="4"/>
  <c r="HW31" i="1"/>
  <c r="HW29" i="1"/>
  <c r="HW27" i="1"/>
  <c r="HW25" i="1"/>
  <c r="HW23" i="1"/>
  <c r="HW21" i="1"/>
  <c r="HW19" i="1"/>
  <c r="HW17" i="1"/>
  <c r="HW15" i="1"/>
  <c r="HW13" i="1"/>
  <c r="HW11" i="1"/>
  <c r="HW9" i="1"/>
  <c r="HV4" i="4"/>
  <c r="HV6" i="1"/>
  <c r="HV4" i="1"/>
  <c r="HV7" i="3"/>
  <c r="HV5" i="3"/>
  <c r="HV27" i="2"/>
  <c r="HV25" i="2"/>
  <c r="HV23" i="2"/>
  <c r="HV21" i="2"/>
  <c r="HV19" i="2"/>
  <c r="HV17" i="2"/>
  <c r="HV15" i="2"/>
  <c r="HV13" i="2"/>
  <c r="HV11" i="2"/>
  <c r="HV9" i="2"/>
  <c r="HV15" i="4"/>
  <c r="HV13" i="4"/>
  <c r="HV11" i="4"/>
  <c r="HV9" i="4"/>
  <c r="HV7" i="4"/>
  <c r="HV31" i="1"/>
  <c r="HV29" i="1"/>
  <c r="HV27" i="1"/>
  <c r="HV25" i="1"/>
  <c r="HV23" i="1"/>
  <c r="HV21" i="1"/>
  <c r="HV19" i="1"/>
  <c r="HV17" i="1"/>
  <c r="HV15" i="1"/>
  <c r="HV13" i="1"/>
  <c r="HV11" i="1"/>
  <c r="HV9" i="1"/>
  <c r="HU4" i="4"/>
  <c r="HU6" i="1"/>
  <c r="HU4" i="1"/>
  <c r="IH5" i="1" s="1"/>
  <c r="HU7" i="3"/>
  <c r="HU5" i="3"/>
  <c r="HU27" i="2"/>
  <c r="HU25" i="2"/>
  <c r="HU23" i="2"/>
  <c r="HU21" i="2"/>
  <c r="HU19" i="2"/>
  <c r="HU17" i="2"/>
  <c r="HU15" i="2"/>
  <c r="HU13" i="2"/>
  <c r="HU11" i="2"/>
  <c r="HU9" i="2"/>
  <c r="HU15" i="4"/>
  <c r="HU13" i="4"/>
  <c r="HU11" i="4"/>
  <c r="HU9" i="4"/>
  <c r="HU7" i="4"/>
  <c r="HU31" i="1"/>
  <c r="HU29" i="1"/>
  <c r="HU27" i="1"/>
  <c r="HU25" i="1"/>
  <c r="HU23" i="1"/>
  <c r="HU21" i="1"/>
  <c r="HU19" i="1"/>
  <c r="HU17" i="1"/>
  <c r="HU15" i="1"/>
  <c r="HU13" i="1"/>
  <c r="HU11" i="1"/>
  <c r="HU9" i="1"/>
  <c r="HT4" i="4"/>
  <c r="HT6" i="1"/>
  <c r="HT4" i="1"/>
  <c r="HT7" i="3"/>
  <c r="HT5" i="3"/>
  <c r="HT27" i="2"/>
  <c r="HT25" i="2"/>
  <c r="HT23" i="2"/>
  <c r="HT21" i="2"/>
  <c r="HT19" i="2"/>
  <c r="HT17" i="2"/>
  <c r="HT15" i="2"/>
  <c r="HT13" i="2"/>
  <c r="HT11" i="2"/>
  <c r="HT9" i="2"/>
  <c r="HT15" i="4"/>
  <c r="HT13" i="4"/>
  <c r="HT11" i="4"/>
  <c r="HT9" i="4"/>
  <c r="HT7" i="4"/>
  <c r="HT31" i="1"/>
  <c r="HT29" i="1"/>
  <c r="HT27" i="1"/>
  <c r="HT25" i="1"/>
  <c r="HT23" i="1"/>
  <c r="HT21" i="1"/>
  <c r="HT19" i="1"/>
  <c r="HT17" i="1"/>
  <c r="HT15" i="1"/>
  <c r="HT13" i="1"/>
  <c r="HT11" i="1"/>
  <c r="HT9" i="1"/>
  <c r="HS7" i="3"/>
  <c r="HS5" i="3"/>
  <c r="HS27" i="2"/>
  <c r="HS25" i="2"/>
  <c r="HS23" i="2"/>
  <c r="HS21" i="2"/>
  <c r="HS19" i="2"/>
  <c r="HS17" i="2"/>
  <c r="HS15" i="2"/>
  <c r="HS13" i="2"/>
  <c r="HS11" i="2"/>
  <c r="HS9" i="2"/>
  <c r="HS4" i="4"/>
  <c r="HS15" i="4"/>
  <c r="HS13" i="4"/>
  <c r="HS11" i="4"/>
  <c r="HS9" i="4"/>
  <c r="HS7" i="4"/>
  <c r="HS6" i="1"/>
  <c r="HS4" i="1"/>
  <c r="IF5" i="1" s="1"/>
  <c r="HS31" i="1"/>
  <c r="HS29" i="1"/>
  <c r="HS27" i="1"/>
  <c r="HS25" i="1"/>
  <c r="HS23" i="1"/>
  <c r="HS21" i="1"/>
  <c r="HS19" i="1"/>
  <c r="HS17" i="1"/>
  <c r="HS15" i="1"/>
  <c r="HS13" i="1"/>
  <c r="HS11" i="1"/>
  <c r="HS9" i="1"/>
  <c r="HR4" i="4"/>
  <c r="HR6" i="1"/>
  <c r="HR4" i="1"/>
  <c r="HR7" i="3"/>
  <c r="HR5" i="3"/>
  <c r="HR27" i="2"/>
  <c r="HR25" i="2"/>
  <c r="HR23" i="2"/>
  <c r="HR21" i="2"/>
  <c r="HR19" i="2"/>
  <c r="HR17" i="2"/>
  <c r="HR15" i="2"/>
  <c r="HR13" i="2"/>
  <c r="HR11" i="2"/>
  <c r="HR9" i="2"/>
  <c r="HR15" i="4"/>
  <c r="HR13" i="4"/>
  <c r="HR11" i="4"/>
  <c r="HR9" i="4"/>
  <c r="HR7" i="4"/>
  <c r="HR31" i="1"/>
  <c r="HR29" i="1"/>
  <c r="HR27" i="1"/>
  <c r="HR25" i="1"/>
  <c r="HR23" i="1"/>
  <c r="HR21" i="1"/>
  <c r="HR19" i="1"/>
  <c r="HR17" i="1"/>
  <c r="HR15" i="1"/>
  <c r="HR13" i="1"/>
  <c r="HR11" i="1"/>
  <c r="HR9" i="1"/>
  <c r="HQ7" i="3"/>
  <c r="HQ5" i="3"/>
  <c r="HQ27" i="2"/>
  <c r="HQ25" i="2"/>
  <c r="HQ23" i="2"/>
  <c r="HQ21" i="2"/>
  <c r="HQ19" i="2"/>
  <c r="HQ17" i="2"/>
  <c r="HQ15" i="2"/>
  <c r="HQ13" i="2"/>
  <c r="HQ11" i="2"/>
  <c r="HQ9" i="2"/>
  <c r="HQ15" i="4"/>
  <c r="HQ13" i="4"/>
  <c r="HQ11" i="4"/>
  <c r="HQ9" i="4"/>
  <c r="HQ7" i="4"/>
  <c r="HQ4" i="4"/>
  <c r="HQ31" i="1"/>
  <c r="HQ29" i="1"/>
  <c r="HQ27" i="1"/>
  <c r="HQ25" i="1"/>
  <c r="HQ23" i="1"/>
  <c r="HQ21" i="1"/>
  <c r="HQ19" i="1"/>
  <c r="HQ17" i="1"/>
  <c r="HQ15" i="1"/>
  <c r="HQ13" i="1"/>
  <c r="HQ11" i="1"/>
  <c r="HQ9" i="1"/>
  <c r="HQ6" i="1"/>
  <c r="HQ4" i="1"/>
  <c r="ID5" i="1" s="1"/>
  <c r="HP7" i="3"/>
  <c r="HP5" i="3"/>
  <c r="HP27" i="2"/>
  <c r="HP25" i="2"/>
  <c r="HP23" i="2"/>
  <c r="HP21" i="2"/>
  <c r="HP19" i="2"/>
  <c r="HP17" i="2"/>
  <c r="HP15" i="2"/>
  <c r="HP13" i="2"/>
  <c r="HP11" i="2"/>
  <c r="HP9" i="2"/>
  <c r="HP15" i="4"/>
  <c r="HP13" i="4"/>
  <c r="HP11" i="4"/>
  <c r="HP9" i="4"/>
  <c r="HP7" i="4"/>
  <c r="HP4" i="4"/>
  <c r="HP31" i="1"/>
  <c r="HP29" i="1"/>
  <c r="HP27" i="1"/>
  <c r="HP25" i="1"/>
  <c r="HP23" i="1"/>
  <c r="HP21" i="1"/>
  <c r="HP19" i="1"/>
  <c r="HP17" i="1"/>
  <c r="HP15" i="1"/>
  <c r="HP13" i="1"/>
  <c r="HP11" i="1"/>
  <c r="HP9" i="1"/>
  <c r="HP6" i="1"/>
  <c r="HP4" i="1"/>
  <c r="HO5" i="3"/>
  <c r="HO7" i="3"/>
  <c r="HO27" i="2"/>
  <c r="HO25" i="2"/>
  <c r="HO23" i="2"/>
  <c r="HO21" i="2"/>
  <c r="HO19" i="2"/>
  <c r="HO17" i="2"/>
  <c r="HO15" i="2"/>
  <c r="HO13" i="2"/>
  <c r="HO11" i="2"/>
  <c r="HO9" i="2"/>
  <c r="HO15" i="4"/>
  <c r="HO13" i="4"/>
  <c r="HO11" i="4"/>
  <c r="HO9" i="4"/>
  <c r="HO7" i="4"/>
  <c r="HO4" i="4"/>
  <c r="HO31" i="1"/>
  <c r="HO29" i="1"/>
  <c r="HO27" i="1"/>
  <c r="HO25" i="1"/>
  <c r="HO23" i="1"/>
  <c r="HO21" i="1"/>
  <c r="HO19" i="1"/>
  <c r="HO17" i="1"/>
  <c r="HO15" i="1"/>
  <c r="HO13" i="1"/>
  <c r="HO11" i="1"/>
  <c r="HO9" i="1"/>
  <c r="HO6" i="1"/>
  <c r="HO4" i="1"/>
  <c r="HN7" i="3"/>
  <c r="HN5" i="3"/>
  <c r="HN27" i="2"/>
  <c r="HN25" i="2"/>
  <c r="HN23" i="2"/>
  <c r="HN21" i="2"/>
  <c r="HN19" i="2"/>
  <c r="HN17" i="2"/>
  <c r="HN15" i="2"/>
  <c r="HN13" i="2"/>
  <c r="HN11" i="2"/>
  <c r="HN9" i="2"/>
  <c r="HN15" i="4"/>
  <c r="HN13" i="4"/>
  <c r="HN11" i="4"/>
  <c r="HN9" i="4"/>
  <c r="HN7" i="4"/>
  <c r="HN4" i="4"/>
  <c r="HN31" i="1"/>
  <c r="HN29" i="1"/>
  <c r="HN27" i="1"/>
  <c r="HN25" i="1"/>
  <c r="HN23" i="1"/>
  <c r="HN21" i="1"/>
  <c r="HN19" i="1"/>
  <c r="HN17" i="1"/>
  <c r="HN15" i="1"/>
  <c r="HN13" i="1"/>
  <c r="HN11" i="1"/>
  <c r="HN9" i="1"/>
  <c r="HN6" i="1"/>
  <c r="HN4" i="1"/>
  <c r="IA5" i="1" s="1"/>
  <c r="HM7" i="3"/>
  <c r="HM5" i="3"/>
  <c r="HM27" i="2"/>
  <c r="HM25" i="2"/>
  <c r="HM23" i="2"/>
  <c r="HM21" i="2"/>
  <c r="HM19" i="2"/>
  <c r="HM17" i="2"/>
  <c r="HM15" i="2"/>
  <c r="HM13" i="2"/>
  <c r="HM11" i="2"/>
  <c r="HM9" i="2"/>
  <c r="HM15" i="4"/>
  <c r="HM13" i="4"/>
  <c r="HM11" i="4"/>
  <c r="HM9" i="4"/>
  <c r="HM7" i="4"/>
  <c r="HM4" i="4"/>
  <c r="HM31" i="1"/>
  <c r="HM29" i="1"/>
  <c r="HM27" i="1"/>
  <c r="HM25" i="1"/>
  <c r="HM23" i="1"/>
  <c r="HM21" i="1"/>
  <c r="HM19" i="1"/>
  <c r="HM17" i="1"/>
  <c r="HM15" i="1"/>
  <c r="HM13" i="1"/>
  <c r="HM11" i="1"/>
  <c r="HM9" i="1"/>
  <c r="HM6" i="1"/>
  <c r="HM4" i="1"/>
  <c r="HZ5" i="1" s="1"/>
  <c r="HL6" i="3"/>
  <c r="HL4" i="3"/>
  <c r="HL26" i="2"/>
  <c r="HY27" i="2" s="1"/>
  <c r="HL24" i="2"/>
  <c r="HL22" i="2"/>
  <c r="HL20" i="2"/>
  <c r="HL18" i="2"/>
  <c r="HY19" i="2" s="1"/>
  <c r="HL16" i="2"/>
  <c r="HL14" i="2"/>
  <c r="HL12" i="2"/>
  <c r="HL10" i="2"/>
  <c r="HL8" i="2"/>
  <c r="HL6" i="2"/>
  <c r="HL4" i="2"/>
  <c r="HL14" i="4"/>
  <c r="HY15" i="4" s="1"/>
  <c r="HL12" i="4"/>
  <c r="HL10" i="4"/>
  <c r="HL8" i="4"/>
  <c r="HL6" i="4"/>
  <c r="HY7" i="4" s="1"/>
  <c r="HL30" i="1"/>
  <c r="HY31" i="1" s="1"/>
  <c r="HL28" i="1"/>
  <c r="HL26" i="1"/>
  <c r="HY27" i="1" s="1"/>
  <c r="HL24" i="1"/>
  <c r="HY25" i="1" s="1"/>
  <c r="HL22" i="1"/>
  <c r="HY23" i="1" s="1"/>
  <c r="HL20" i="1"/>
  <c r="HL18" i="1"/>
  <c r="HY19" i="1" s="1"/>
  <c r="HL16" i="1"/>
  <c r="HY17" i="1" s="1"/>
  <c r="HL14" i="1"/>
  <c r="HY15" i="1" s="1"/>
  <c r="HL12" i="1"/>
  <c r="HL10" i="1"/>
  <c r="HY11" i="1" s="1"/>
  <c r="HL8" i="1"/>
  <c r="HY9" i="1" s="1"/>
  <c r="HK7" i="3"/>
  <c r="HK5" i="3"/>
  <c r="HK27" i="2"/>
  <c r="HK25" i="2"/>
  <c r="HK23" i="2"/>
  <c r="HK21" i="2"/>
  <c r="HK19" i="2"/>
  <c r="HK17" i="2"/>
  <c r="HK15" i="2"/>
  <c r="HK13" i="2"/>
  <c r="HK11" i="2"/>
  <c r="HK9" i="2"/>
  <c r="HK7" i="2"/>
  <c r="HK5" i="2"/>
  <c r="HK15" i="4"/>
  <c r="HK13" i="4"/>
  <c r="HK11" i="4"/>
  <c r="HK9" i="4"/>
  <c r="HK7" i="4"/>
  <c r="HK4" i="4"/>
  <c r="HK31" i="1"/>
  <c r="HK29" i="1"/>
  <c r="HK27" i="1"/>
  <c r="HK25" i="1"/>
  <c r="HK23" i="1"/>
  <c r="HK21" i="1"/>
  <c r="HK19" i="1"/>
  <c r="HK17" i="1"/>
  <c r="HK15" i="1"/>
  <c r="HK13" i="1"/>
  <c r="HK11" i="1"/>
  <c r="HK9" i="1"/>
  <c r="HK6" i="1"/>
  <c r="HX7" i="1" s="1"/>
  <c r="HK4" i="1"/>
  <c r="HJ25" i="2"/>
  <c r="HJ7" i="3"/>
  <c r="HJ5" i="3"/>
  <c r="HJ27" i="2"/>
  <c r="HJ23" i="2"/>
  <c r="HJ21" i="2"/>
  <c r="HJ19" i="2"/>
  <c r="HJ17" i="2"/>
  <c r="HJ15" i="2"/>
  <c r="HJ13" i="2"/>
  <c r="HJ11" i="2"/>
  <c r="HJ9" i="2"/>
  <c r="HJ7" i="2"/>
  <c r="HJ5" i="2"/>
  <c r="HJ15" i="4"/>
  <c r="HJ13" i="4"/>
  <c r="HJ11" i="4"/>
  <c r="HJ9" i="4"/>
  <c r="HJ7" i="4"/>
  <c r="HJ4" i="4"/>
  <c r="HW5" i="4" s="1"/>
  <c r="HJ31" i="1"/>
  <c r="HJ29" i="1"/>
  <c r="HJ27" i="1"/>
  <c r="HJ25" i="1"/>
  <c r="HJ23" i="1"/>
  <c r="HJ21" i="1"/>
  <c r="HJ19" i="1"/>
  <c r="HJ17" i="1"/>
  <c r="HJ15" i="1"/>
  <c r="HJ13" i="1"/>
  <c r="HJ11" i="1"/>
  <c r="HJ9" i="1"/>
  <c r="HJ6" i="1"/>
  <c r="HW7" i="1" s="1"/>
  <c r="HJ4" i="1"/>
  <c r="HI7" i="3"/>
  <c r="HI5" i="3"/>
  <c r="HI27" i="2"/>
  <c r="HI25" i="2"/>
  <c r="HI23" i="2"/>
  <c r="HI21" i="2"/>
  <c r="HI19" i="2"/>
  <c r="HI17" i="2"/>
  <c r="HI15" i="2"/>
  <c r="HI13" i="2"/>
  <c r="HI11" i="2"/>
  <c r="HI9" i="2"/>
  <c r="HI7" i="2"/>
  <c r="HI5" i="2"/>
  <c r="HI15" i="4"/>
  <c r="HI13" i="4"/>
  <c r="HI11" i="4"/>
  <c r="HI9" i="4"/>
  <c r="HI7" i="4"/>
  <c r="HI4" i="4"/>
  <c r="HI31" i="1"/>
  <c r="HI29" i="1"/>
  <c r="HI27" i="1"/>
  <c r="HI25" i="1"/>
  <c r="HI23" i="1"/>
  <c r="HI21" i="1"/>
  <c r="HI19" i="1"/>
  <c r="HI17" i="1"/>
  <c r="HI15" i="1"/>
  <c r="HI13" i="1"/>
  <c r="HI11" i="1"/>
  <c r="HI9" i="1"/>
  <c r="HI6" i="1"/>
  <c r="HV7" i="1" s="1"/>
  <c r="HI4" i="1"/>
  <c r="HH7" i="3"/>
  <c r="HH5" i="3"/>
  <c r="HH27" i="2"/>
  <c r="HH25" i="2"/>
  <c r="HH23" i="2"/>
  <c r="HH21" i="2"/>
  <c r="HH19" i="2"/>
  <c r="HH17" i="2"/>
  <c r="HH15" i="2"/>
  <c r="HH13" i="2"/>
  <c r="HH11" i="2"/>
  <c r="HH9" i="2"/>
  <c r="HH7" i="2"/>
  <c r="HH5" i="2"/>
  <c r="HH15" i="4"/>
  <c r="HH13" i="4"/>
  <c r="HH11" i="4"/>
  <c r="HH9" i="4"/>
  <c r="HH7" i="4"/>
  <c r="HH4" i="4"/>
  <c r="HU5" i="4" s="1"/>
  <c r="HH31" i="1"/>
  <c r="HH29" i="1"/>
  <c r="HH27" i="1"/>
  <c r="HH25" i="1"/>
  <c r="HH23" i="1"/>
  <c r="HH21" i="1"/>
  <c r="HH19" i="1"/>
  <c r="HH17" i="1"/>
  <c r="HH15" i="1"/>
  <c r="HH13" i="1"/>
  <c r="HH11" i="1"/>
  <c r="HH9" i="1"/>
  <c r="HH6" i="1"/>
  <c r="HH4" i="1"/>
  <c r="HG7" i="3"/>
  <c r="HG5" i="3"/>
  <c r="HG27" i="2"/>
  <c r="HG25" i="2"/>
  <c r="HG23" i="2"/>
  <c r="HG21" i="2"/>
  <c r="HG19" i="2"/>
  <c r="HG17" i="2"/>
  <c r="HG15" i="2"/>
  <c r="HG13" i="2"/>
  <c r="HG11" i="2"/>
  <c r="HG9" i="2"/>
  <c r="HG7" i="2"/>
  <c r="HG5" i="2"/>
  <c r="HG15" i="4"/>
  <c r="HG13" i="4"/>
  <c r="HG11" i="4"/>
  <c r="HG9" i="4"/>
  <c r="HG7" i="4"/>
  <c r="HG4" i="4"/>
  <c r="HG31" i="1"/>
  <c r="HG29" i="1"/>
  <c r="HG27" i="1"/>
  <c r="HG25" i="1"/>
  <c r="HG23" i="1"/>
  <c r="HG21" i="1"/>
  <c r="HG19" i="1"/>
  <c r="HG17" i="1"/>
  <c r="HG15" i="1"/>
  <c r="HG13" i="1"/>
  <c r="HG11" i="1"/>
  <c r="HG9" i="1"/>
  <c r="HG6" i="1"/>
  <c r="HT7" i="1" s="1"/>
  <c r="HG4" i="1"/>
  <c r="HF7" i="3"/>
  <c r="HF5" i="3"/>
  <c r="HF27" i="2"/>
  <c r="HF25" i="2"/>
  <c r="HF23" i="2"/>
  <c r="HF21" i="2"/>
  <c r="HF19" i="2"/>
  <c r="HF17" i="2"/>
  <c r="HF15" i="2"/>
  <c r="HF13" i="2"/>
  <c r="HF11" i="2"/>
  <c r="HF9" i="2"/>
  <c r="HF7" i="2"/>
  <c r="HF5" i="2"/>
  <c r="HF15" i="4"/>
  <c r="HF13" i="4"/>
  <c r="HF11" i="4"/>
  <c r="HF9" i="4"/>
  <c r="HF7" i="4"/>
  <c r="HF4" i="4"/>
  <c r="HS5" i="4" s="1"/>
  <c r="HF31" i="1"/>
  <c r="HF29" i="1"/>
  <c r="HF27" i="1"/>
  <c r="HF25" i="1"/>
  <c r="HF23" i="1"/>
  <c r="HF21" i="1"/>
  <c r="HF19" i="1"/>
  <c r="HF17" i="1"/>
  <c r="HF15" i="1"/>
  <c r="HF13" i="1"/>
  <c r="HF11" i="1"/>
  <c r="HF9" i="1"/>
  <c r="HF6" i="1"/>
  <c r="HS7" i="1" s="1"/>
  <c r="HF4" i="1"/>
  <c r="HE11" i="2"/>
  <c r="HE7" i="3"/>
  <c r="HE5" i="3"/>
  <c r="HE27" i="2"/>
  <c r="HE25" i="2"/>
  <c r="HE23" i="2"/>
  <c r="HE21" i="2"/>
  <c r="HE19" i="2"/>
  <c r="HE17" i="2"/>
  <c r="HE15" i="2"/>
  <c r="HE13" i="2"/>
  <c r="HE9" i="2"/>
  <c r="HE7" i="2"/>
  <c r="HE5" i="2"/>
  <c r="HE15" i="4"/>
  <c r="HE13" i="4"/>
  <c r="HE11" i="4"/>
  <c r="HE9" i="4"/>
  <c r="HE7" i="4"/>
  <c r="HE4" i="4"/>
  <c r="HE31" i="1"/>
  <c r="HE29" i="1"/>
  <c r="HE27" i="1"/>
  <c r="HE25" i="1"/>
  <c r="HE23" i="1"/>
  <c r="HE21" i="1"/>
  <c r="HE19" i="1"/>
  <c r="HE17" i="1"/>
  <c r="HE15" i="1"/>
  <c r="HE13" i="1"/>
  <c r="HE11" i="1"/>
  <c r="HE9" i="1"/>
  <c r="HE6" i="1"/>
  <c r="HR7" i="1" s="1"/>
  <c r="HE4" i="1"/>
  <c r="HD7" i="3"/>
  <c r="HD5" i="3"/>
  <c r="HD27" i="2"/>
  <c r="HD25" i="2"/>
  <c r="HD23" i="2"/>
  <c r="HD21" i="2"/>
  <c r="HD19" i="2"/>
  <c r="HD17" i="2"/>
  <c r="HD15" i="2"/>
  <c r="HD13" i="2"/>
  <c r="HD11" i="2"/>
  <c r="HD9" i="2"/>
  <c r="HD7" i="2"/>
  <c r="HD5" i="2"/>
  <c r="HD15" i="4"/>
  <c r="HD13" i="4"/>
  <c r="HD11" i="4"/>
  <c r="HD9" i="4"/>
  <c r="HD7" i="4"/>
  <c r="HD4" i="4"/>
  <c r="HQ5" i="4" s="1"/>
  <c r="HD31" i="1"/>
  <c r="HD29" i="1"/>
  <c r="HD27" i="1"/>
  <c r="HD25" i="1"/>
  <c r="HD23" i="1"/>
  <c r="HD21" i="1"/>
  <c r="HD19" i="1"/>
  <c r="HD17" i="1"/>
  <c r="HD15" i="1"/>
  <c r="HD13" i="1"/>
  <c r="HD11" i="1"/>
  <c r="HD9" i="1"/>
  <c r="HD6" i="1"/>
  <c r="HQ7" i="1" s="1"/>
  <c r="HD4" i="1"/>
  <c r="HC7" i="3"/>
  <c r="HC5" i="3"/>
  <c r="HC27" i="2"/>
  <c r="HC25" i="2"/>
  <c r="HC23" i="2"/>
  <c r="HC21" i="2"/>
  <c r="HC19" i="2"/>
  <c r="HC17" i="2"/>
  <c r="HC15" i="2"/>
  <c r="HC13" i="2"/>
  <c r="HC11" i="2"/>
  <c r="HC9" i="2"/>
  <c r="HC7" i="2"/>
  <c r="HC5" i="2"/>
  <c r="HC15" i="4"/>
  <c r="HC13" i="4"/>
  <c r="HC11" i="4"/>
  <c r="HC9" i="4"/>
  <c r="HC7" i="4"/>
  <c r="HC4" i="4"/>
  <c r="HP5" i="4" s="1"/>
  <c r="HC31" i="1"/>
  <c r="HC29" i="1"/>
  <c r="HC27" i="1"/>
  <c r="HC25" i="1"/>
  <c r="HC23" i="1"/>
  <c r="HC21" i="1"/>
  <c r="HC19" i="1"/>
  <c r="HC17" i="1"/>
  <c r="HC15" i="1"/>
  <c r="HC13" i="1"/>
  <c r="HC11" i="1"/>
  <c r="HC9" i="1"/>
  <c r="HC6" i="1"/>
  <c r="HP7" i="1" s="1"/>
  <c r="HC4" i="1"/>
  <c r="HB27" i="2"/>
  <c r="HB25" i="2"/>
  <c r="HB7" i="3"/>
  <c r="HB5" i="3"/>
  <c r="HB23" i="2"/>
  <c r="HB21" i="2"/>
  <c r="HB19" i="2"/>
  <c r="HB17" i="2"/>
  <c r="HB15" i="2"/>
  <c r="HB13" i="2"/>
  <c r="HB11" i="2"/>
  <c r="HB9" i="2"/>
  <c r="HB7" i="2"/>
  <c r="HB5" i="2"/>
  <c r="HB15" i="4"/>
  <c r="HB13" i="4"/>
  <c r="HB11" i="4"/>
  <c r="HB9" i="4"/>
  <c r="HB7" i="4"/>
  <c r="HB4" i="4"/>
  <c r="HO5" i="4" s="1"/>
  <c r="HB31" i="1"/>
  <c r="HB29" i="1"/>
  <c r="HB27" i="1"/>
  <c r="HB25" i="1"/>
  <c r="HB23" i="1"/>
  <c r="HB21" i="1"/>
  <c r="HB19" i="1"/>
  <c r="HB17" i="1"/>
  <c r="HB15" i="1"/>
  <c r="HB13" i="1"/>
  <c r="HB11" i="1"/>
  <c r="HB9" i="1"/>
  <c r="HB6" i="1"/>
  <c r="HO7" i="1" s="1"/>
  <c r="HB4" i="1"/>
  <c r="HA7" i="3"/>
  <c r="HA5" i="3"/>
  <c r="HA27" i="2"/>
  <c r="HA25" i="2"/>
  <c r="HA23" i="2"/>
  <c r="HA21" i="2"/>
  <c r="HA19" i="2"/>
  <c r="HA17" i="2"/>
  <c r="HA15" i="2"/>
  <c r="HA13" i="2"/>
  <c r="HA11" i="2"/>
  <c r="HA9" i="2"/>
  <c r="HA7" i="2"/>
  <c r="HA5" i="2"/>
  <c r="HA15" i="4"/>
  <c r="HA13" i="4"/>
  <c r="HA11" i="4"/>
  <c r="HA9" i="4"/>
  <c r="HA7" i="4"/>
  <c r="HA4" i="4"/>
  <c r="HA27" i="1"/>
  <c r="HA31" i="1"/>
  <c r="HA29" i="1"/>
  <c r="HA25" i="1"/>
  <c r="HA23" i="1"/>
  <c r="HA21" i="1"/>
  <c r="HA19" i="1"/>
  <c r="HA17" i="1"/>
  <c r="HA15" i="1"/>
  <c r="HA13" i="1"/>
  <c r="HA11" i="1"/>
  <c r="HA9" i="1"/>
  <c r="HA6" i="1"/>
  <c r="HN7" i="1" s="1"/>
  <c r="HA4" i="1"/>
  <c r="HN5" i="1" s="1"/>
  <c r="GZ7" i="3"/>
  <c r="GZ5" i="3"/>
  <c r="GY6" i="3"/>
  <c r="GY4" i="3"/>
  <c r="GZ27" i="2"/>
  <c r="GZ25" i="2"/>
  <c r="GZ23" i="2"/>
  <c r="GZ21" i="2"/>
  <c r="GZ19" i="2"/>
  <c r="GZ17" i="2"/>
  <c r="GZ15" i="2"/>
  <c r="GZ13" i="2"/>
  <c r="GZ11" i="2"/>
  <c r="GZ9" i="2"/>
  <c r="GZ7" i="2"/>
  <c r="GZ5" i="2"/>
  <c r="GY26" i="2"/>
  <c r="HL27" i="2" s="1"/>
  <c r="GY24" i="2"/>
  <c r="GY22" i="2"/>
  <c r="GY20" i="2"/>
  <c r="GY18" i="2"/>
  <c r="HL19" i="2" s="1"/>
  <c r="GY16" i="2"/>
  <c r="GY14" i="2"/>
  <c r="GY12" i="2"/>
  <c r="GY10" i="2"/>
  <c r="GY8" i="2"/>
  <c r="GY6" i="2"/>
  <c r="GY4" i="2"/>
  <c r="GZ15" i="4"/>
  <c r="GZ13" i="4"/>
  <c r="GZ11" i="4"/>
  <c r="GZ9" i="4"/>
  <c r="GZ7" i="4"/>
  <c r="GZ4" i="4"/>
  <c r="HM5" i="4" s="1"/>
  <c r="GY14" i="4"/>
  <c r="GY12" i="4"/>
  <c r="GY10" i="4"/>
  <c r="GY8" i="4"/>
  <c r="HL9" i="4" s="1"/>
  <c r="GY6" i="4"/>
  <c r="GZ31" i="1"/>
  <c r="GZ29" i="1"/>
  <c r="GZ27" i="1"/>
  <c r="GZ25" i="1"/>
  <c r="GZ23" i="1"/>
  <c r="GZ21" i="1"/>
  <c r="GZ19" i="1"/>
  <c r="GZ17" i="1"/>
  <c r="GZ15" i="1"/>
  <c r="GZ13" i="1"/>
  <c r="GZ11" i="1"/>
  <c r="GZ9" i="1"/>
  <c r="GZ6" i="1"/>
  <c r="GZ4" i="1"/>
  <c r="GY30" i="1"/>
  <c r="HL31" i="1" s="1"/>
  <c r="GY28" i="1"/>
  <c r="GY26" i="1"/>
  <c r="GY24" i="1"/>
  <c r="HL25" i="1" s="1"/>
  <c r="GY22" i="1"/>
  <c r="HL23" i="1" s="1"/>
  <c r="GY20" i="1"/>
  <c r="GY18" i="1"/>
  <c r="GY16" i="1"/>
  <c r="HL17" i="1" s="1"/>
  <c r="GY14" i="1"/>
  <c r="HL15" i="1" s="1"/>
  <c r="GY12" i="1"/>
  <c r="GY10" i="1"/>
  <c r="GY8" i="1"/>
  <c r="HL9" i="1"/>
  <c r="GX7" i="3"/>
  <c r="GX5" i="3"/>
  <c r="GX27" i="2"/>
  <c r="GX25" i="2"/>
  <c r="GX23" i="2"/>
  <c r="GX21" i="2"/>
  <c r="GX19" i="2"/>
  <c r="GX17" i="2"/>
  <c r="GX15" i="2"/>
  <c r="GX13" i="2"/>
  <c r="GX11" i="2"/>
  <c r="GX9" i="2"/>
  <c r="GX7" i="2"/>
  <c r="GX5" i="2"/>
  <c r="GX15" i="4"/>
  <c r="GX13" i="4"/>
  <c r="GX11" i="4"/>
  <c r="GX9" i="4"/>
  <c r="GX7" i="4"/>
  <c r="GX4" i="4"/>
  <c r="GX31" i="1"/>
  <c r="GX29" i="1"/>
  <c r="GX27" i="1"/>
  <c r="GX25" i="1"/>
  <c r="GX23" i="1"/>
  <c r="GX21" i="1"/>
  <c r="GX19" i="1"/>
  <c r="GX17" i="1"/>
  <c r="GX15" i="1"/>
  <c r="GX13" i="1"/>
  <c r="GX11" i="1"/>
  <c r="GX9" i="1"/>
  <c r="GX6" i="1"/>
  <c r="HK7" i="1" s="1"/>
  <c r="GX4" i="1"/>
  <c r="GW7" i="4"/>
  <c r="GW7" i="3"/>
  <c r="GW5" i="3"/>
  <c r="GW27" i="2"/>
  <c r="GW25" i="2"/>
  <c r="GW23" i="2"/>
  <c r="GW21" i="2"/>
  <c r="GW19" i="2"/>
  <c r="GW17" i="2"/>
  <c r="GW15" i="2"/>
  <c r="GW13" i="2"/>
  <c r="GW11" i="2"/>
  <c r="GW9" i="2"/>
  <c r="GW7" i="2"/>
  <c r="GW5" i="2"/>
  <c r="GW15" i="4"/>
  <c r="GW13" i="4"/>
  <c r="GW11" i="4"/>
  <c r="GW9" i="4"/>
  <c r="GW4" i="4"/>
  <c r="GW31" i="1"/>
  <c r="GW29" i="1"/>
  <c r="GW27" i="1"/>
  <c r="GW25" i="1"/>
  <c r="GW23" i="1"/>
  <c r="GW21" i="1"/>
  <c r="GW19" i="1"/>
  <c r="GW17" i="1"/>
  <c r="GW15" i="1"/>
  <c r="GW13" i="1"/>
  <c r="GW11" i="1"/>
  <c r="GW9" i="1"/>
  <c r="GW6" i="1"/>
  <c r="GW4" i="1"/>
  <c r="GV7" i="3"/>
  <c r="GV5" i="3"/>
  <c r="GV27" i="2"/>
  <c r="GV25" i="2"/>
  <c r="GV23" i="2"/>
  <c r="GV21" i="2"/>
  <c r="GV19" i="2"/>
  <c r="GV17" i="2"/>
  <c r="GV15" i="2"/>
  <c r="GV13" i="2"/>
  <c r="GV11" i="2"/>
  <c r="GV9" i="2"/>
  <c r="GV7" i="2"/>
  <c r="GV5" i="2"/>
  <c r="GV15" i="4"/>
  <c r="GV13" i="4"/>
  <c r="GV11" i="4"/>
  <c r="GV9" i="4"/>
  <c r="GV7" i="4"/>
  <c r="GV4" i="4"/>
  <c r="HI5" i="4" s="1"/>
  <c r="GV31" i="1"/>
  <c r="GV29" i="1"/>
  <c r="GV27" i="1"/>
  <c r="GV25" i="1"/>
  <c r="GV23" i="1"/>
  <c r="GV21" i="1"/>
  <c r="GV19" i="1"/>
  <c r="GV17" i="1"/>
  <c r="GV15" i="1"/>
  <c r="GV13" i="1"/>
  <c r="GV11" i="1"/>
  <c r="GV9" i="1"/>
  <c r="GV6" i="1"/>
  <c r="GV4" i="1"/>
  <c r="GU7" i="3"/>
  <c r="GU5" i="3"/>
  <c r="GU27" i="2"/>
  <c r="GU25" i="2"/>
  <c r="GU23" i="2"/>
  <c r="GU21" i="2"/>
  <c r="GU19" i="2"/>
  <c r="GU17" i="2"/>
  <c r="GU15" i="2"/>
  <c r="GU13" i="2"/>
  <c r="GU11" i="2"/>
  <c r="GU9" i="2"/>
  <c r="GU7" i="2"/>
  <c r="GU5" i="2"/>
  <c r="GU15" i="4"/>
  <c r="GU13" i="4"/>
  <c r="GU11" i="4"/>
  <c r="GU9" i="4"/>
  <c r="GU7" i="4"/>
  <c r="GU4" i="4"/>
  <c r="GU29" i="1"/>
  <c r="GU31" i="1"/>
  <c r="GU27" i="1"/>
  <c r="GU25" i="1"/>
  <c r="GU23" i="1"/>
  <c r="GU21" i="1"/>
  <c r="GU19" i="1"/>
  <c r="GU17" i="1"/>
  <c r="GU15" i="1"/>
  <c r="GU13" i="1"/>
  <c r="GU11" i="1"/>
  <c r="GU9" i="1"/>
  <c r="GU6" i="1"/>
  <c r="GU4" i="1"/>
  <c r="GT7" i="3"/>
  <c r="GT5" i="3"/>
  <c r="GT27" i="2"/>
  <c r="GT25" i="2"/>
  <c r="GT23" i="2"/>
  <c r="GT21" i="2"/>
  <c r="GT19" i="2"/>
  <c r="GT17" i="2"/>
  <c r="GT15" i="2"/>
  <c r="GT13" i="2"/>
  <c r="GT11" i="2"/>
  <c r="GT9" i="2"/>
  <c r="GT7" i="2"/>
  <c r="GT5" i="2"/>
  <c r="GT15" i="4"/>
  <c r="GT13" i="4"/>
  <c r="GT11" i="4"/>
  <c r="GT9" i="4"/>
  <c r="GT7" i="4"/>
  <c r="GT4" i="4"/>
  <c r="GT25" i="1"/>
  <c r="GT27" i="1"/>
  <c r="GT29" i="1"/>
  <c r="GT31" i="1"/>
  <c r="GT4" i="1"/>
  <c r="GT23" i="1"/>
  <c r="GT21" i="1"/>
  <c r="GT19" i="1"/>
  <c r="GT17" i="1"/>
  <c r="GT15" i="1"/>
  <c r="GT13" i="1"/>
  <c r="GT11" i="1"/>
  <c r="GT9" i="1"/>
  <c r="GT6" i="1"/>
  <c r="GS7" i="3"/>
  <c r="GS5" i="3"/>
  <c r="GS27" i="2"/>
  <c r="GS25" i="2"/>
  <c r="GS23" i="2"/>
  <c r="GS21" i="2"/>
  <c r="GS19" i="2"/>
  <c r="GS17" i="2"/>
  <c r="GS15" i="2"/>
  <c r="GS13" i="2"/>
  <c r="GS11" i="2"/>
  <c r="GS9" i="2"/>
  <c r="GS7" i="2"/>
  <c r="GS5" i="2"/>
  <c r="GR15" i="4"/>
  <c r="GR13" i="4"/>
  <c r="GR11" i="4"/>
  <c r="GR9" i="4"/>
  <c r="GR7" i="4"/>
  <c r="GR4" i="4"/>
  <c r="GS15" i="4"/>
  <c r="GS13" i="4"/>
  <c r="GS11" i="4"/>
  <c r="GS9" i="4"/>
  <c r="GS7" i="4"/>
  <c r="GS4" i="4"/>
  <c r="HF5" i="4" s="1"/>
  <c r="GS31" i="1"/>
  <c r="GS29" i="1"/>
  <c r="GS27" i="1"/>
  <c r="GS25" i="1"/>
  <c r="GS23" i="1"/>
  <c r="GS21" i="1"/>
  <c r="GS19" i="1"/>
  <c r="GS17" i="1"/>
  <c r="GS15" i="1"/>
  <c r="GS13" i="1"/>
  <c r="GS11" i="1"/>
  <c r="GS9" i="1"/>
  <c r="GS6" i="1"/>
  <c r="GS4" i="1"/>
  <c r="GR7" i="3"/>
  <c r="GR5" i="3"/>
  <c r="GR27" i="2"/>
  <c r="GR25" i="2"/>
  <c r="GR23" i="2"/>
  <c r="GR21" i="2"/>
  <c r="GR19" i="2"/>
  <c r="GR17" i="2"/>
  <c r="GR15" i="2"/>
  <c r="GR13" i="2"/>
  <c r="GR11" i="2"/>
  <c r="GR9" i="2"/>
  <c r="GR7" i="2"/>
  <c r="GR5" i="2"/>
  <c r="GR31" i="1"/>
  <c r="GR29" i="1"/>
  <c r="GR27" i="1"/>
  <c r="GR25" i="1"/>
  <c r="GR23" i="1"/>
  <c r="GR21" i="1"/>
  <c r="GR19" i="1"/>
  <c r="GR17" i="1"/>
  <c r="GR15" i="1"/>
  <c r="GR13" i="1"/>
  <c r="GR11" i="1"/>
  <c r="GR9" i="1"/>
  <c r="GR6" i="1"/>
  <c r="GR4" i="1"/>
  <c r="GQ7" i="3"/>
  <c r="GQ5" i="3"/>
  <c r="GQ27" i="2"/>
  <c r="GQ25" i="2"/>
  <c r="GQ23" i="2"/>
  <c r="GQ21" i="2"/>
  <c r="GQ19" i="2"/>
  <c r="GQ17" i="2"/>
  <c r="GQ15" i="2"/>
  <c r="GQ13" i="2"/>
  <c r="GQ11" i="2"/>
  <c r="GQ9" i="2"/>
  <c r="GQ7" i="2"/>
  <c r="GQ5" i="2"/>
  <c r="GQ15" i="4"/>
  <c r="GQ13" i="4"/>
  <c r="GQ11" i="4"/>
  <c r="GQ9" i="4"/>
  <c r="GQ7" i="4"/>
  <c r="GQ4" i="4"/>
  <c r="GQ31" i="1"/>
  <c r="GQ29" i="1"/>
  <c r="GQ27" i="1"/>
  <c r="GQ25" i="1"/>
  <c r="GQ23" i="1"/>
  <c r="GQ21" i="1"/>
  <c r="GQ19" i="1"/>
  <c r="GQ17" i="1"/>
  <c r="GQ15" i="1"/>
  <c r="GQ13" i="1"/>
  <c r="GQ11" i="1"/>
  <c r="GQ9" i="1"/>
  <c r="GQ6" i="1"/>
  <c r="GQ4" i="1"/>
  <c r="GP7" i="3"/>
  <c r="GP5" i="3"/>
  <c r="GP27" i="2"/>
  <c r="GP25" i="2"/>
  <c r="GP23" i="2"/>
  <c r="GP21" i="2"/>
  <c r="GP19" i="2"/>
  <c r="GP17" i="2"/>
  <c r="GP15" i="2"/>
  <c r="GP13" i="2"/>
  <c r="GP11" i="2"/>
  <c r="GP9" i="2"/>
  <c r="GP7" i="2"/>
  <c r="GP5" i="2"/>
  <c r="GP15" i="4"/>
  <c r="GP13" i="4"/>
  <c r="GP11" i="4"/>
  <c r="GP9" i="4"/>
  <c r="GP7" i="4"/>
  <c r="GP4" i="4"/>
  <c r="GP31" i="1"/>
  <c r="GP29" i="1"/>
  <c r="GP27" i="1"/>
  <c r="GP25" i="1"/>
  <c r="GP23" i="1"/>
  <c r="GP21" i="1"/>
  <c r="GP19" i="1"/>
  <c r="GP17" i="1"/>
  <c r="GP15" i="1"/>
  <c r="GP13" i="1"/>
  <c r="GP11" i="1"/>
  <c r="GP9" i="1"/>
  <c r="GP6" i="1"/>
  <c r="GP4" i="1"/>
  <c r="GO7" i="3"/>
  <c r="GO5" i="3"/>
  <c r="GO27" i="2"/>
  <c r="GO25" i="2"/>
  <c r="GO23" i="2"/>
  <c r="GO21" i="2"/>
  <c r="GO19" i="2"/>
  <c r="GO17" i="2"/>
  <c r="GO15" i="2"/>
  <c r="GO13" i="2"/>
  <c r="GO11" i="2"/>
  <c r="GO9" i="2"/>
  <c r="GO7" i="2"/>
  <c r="GO5" i="2"/>
  <c r="GO15" i="4"/>
  <c r="GO13" i="4"/>
  <c r="GO11" i="4"/>
  <c r="GO9" i="4"/>
  <c r="GO7" i="4"/>
  <c r="GO4" i="4"/>
  <c r="GO31" i="1"/>
  <c r="GO29" i="1"/>
  <c r="GO27" i="1"/>
  <c r="GO25" i="1"/>
  <c r="GO23" i="1"/>
  <c r="GO21" i="1"/>
  <c r="GO19" i="1"/>
  <c r="GO17" i="1"/>
  <c r="GO15" i="1"/>
  <c r="GO13" i="1"/>
  <c r="GO11" i="1"/>
  <c r="GO9" i="1"/>
  <c r="GO6" i="1"/>
  <c r="HB7" i="1" s="1"/>
  <c r="GO4" i="1"/>
  <c r="GN7" i="3"/>
  <c r="GN5" i="3"/>
  <c r="GN27" i="2"/>
  <c r="GN25" i="2"/>
  <c r="GN23" i="2"/>
  <c r="GN21" i="2"/>
  <c r="GN19" i="2"/>
  <c r="GN17" i="2"/>
  <c r="GN15" i="2"/>
  <c r="GN13" i="2"/>
  <c r="GN11" i="2"/>
  <c r="GN9" i="2"/>
  <c r="GN7" i="2"/>
  <c r="GN5" i="2"/>
  <c r="GN15" i="4"/>
  <c r="GN13" i="4"/>
  <c r="GN11" i="4"/>
  <c r="GN9" i="4"/>
  <c r="GN7" i="4"/>
  <c r="GN4" i="4"/>
  <c r="GN31" i="1"/>
  <c r="GN29" i="1"/>
  <c r="GN27" i="1"/>
  <c r="GN25" i="1"/>
  <c r="GN23" i="1"/>
  <c r="GN21" i="1"/>
  <c r="GN19" i="1"/>
  <c r="GN17" i="1"/>
  <c r="GN15" i="1"/>
  <c r="GN13" i="1"/>
  <c r="GN11" i="1"/>
  <c r="GN9" i="1"/>
  <c r="GN6" i="1"/>
  <c r="GN4" i="1"/>
  <c r="GM7" i="3"/>
  <c r="GM5" i="3"/>
  <c r="GM27" i="2"/>
  <c r="GM25" i="2"/>
  <c r="GM23" i="2"/>
  <c r="GM21" i="2"/>
  <c r="GM19" i="2"/>
  <c r="GM17" i="2"/>
  <c r="GM15" i="2"/>
  <c r="GM13" i="2"/>
  <c r="GM11" i="2"/>
  <c r="GM9" i="2"/>
  <c r="GM7" i="2"/>
  <c r="GM5" i="2"/>
  <c r="GM15" i="4"/>
  <c r="GM13" i="4"/>
  <c r="GM11" i="4"/>
  <c r="GM9" i="4"/>
  <c r="GM7" i="4"/>
  <c r="GM4" i="4"/>
  <c r="GM31" i="1"/>
  <c r="GM29" i="1"/>
  <c r="GM27" i="1"/>
  <c r="GM25" i="1"/>
  <c r="GM23" i="1"/>
  <c r="GM21" i="1"/>
  <c r="GM19" i="1"/>
  <c r="GM17" i="1"/>
  <c r="GM15" i="1"/>
  <c r="GM13" i="1"/>
  <c r="GM11" i="1"/>
  <c r="GM9" i="1"/>
  <c r="GM6" i="1"/>
  <c r="GZ7" i="1" s="1"/>
  <c r="GM4" i="1"/>
  <c r="GZ5" i="1"/>
  <c r="GL30" i="1"/>
  <c r="GL28" i="1"/>
  <c r="GL26" i="1"/>
  <c r="GL24" i="1"/>
  <c r="GY25" i="1" s="1"/>
  <c r="GL22" i="1"/>
  <c r="GY23" i="1"/>
  <c r="GL20" i="1"/>
  <c r="GY21" i="1" s="1"/>
  <c r="GL18" i="1"/>
  <c r="GL16" i="1"/>
  <c r="GY17" i="1"/>
  <c r="GL14" i="1"/>
  <c r="GL12" i="1"/>
  <c r="GL10" i="1"/>
  <c r="GL8" i="1"/>
  <c r="GY9" i="1" s="1"/>
  <c r="GL14" i="4"/>
  <c r="GL12" i="4"/>
  <c r="GY13" i="4" s="1"/>
  <c r="GL10" i="4"/>
  <c r="GY11" i="4" s="1"/>
  <c r="GL8" i="4"/>
  <c r="GL6" i="4"/>
  <c r="GL26" i="2"/>
  <c r="GY27" i="2" s="1"/>
  <c r="GL24" i="2"/>
  <c r="GL22" i="2"/>
  <c r="GL20" i="2"/>
  <c r="GL18" i="2"/>
  <c r="GY19" i="2" s="1"/>
  <c r="GL16" i="2"/>
  <c r="GL14" i="2"/>
  <c r="GL12" i="2"/>
  <c r="GL10" i="2"/>
  <c r="GL8" i="2"/>
  <c r="GL6" i="2"/>
  <c r="GL4" i="2"/>
  <c r="GL6" i="3"/>
  <c r="GY7" i="3"/>
  <c r="GL4" i="3"/>
  <c r="GK7" i="3"/>
  <c r="GK5" i="3"/>
  <c r="GK27" i="2"/>
  <c r="GK25" i="2"/>
  <c r="GK23" i="2"/>
  <c r="GK21" i="2"/>
  <c r="GK19" i="2"/>
  <c r="GK17" i="2"/>
  <c r="GK15" i="2"/>
  <c r="GK13" i="2"/>
  <c r="GK11" i="2"/>
  <c r="GK9" i="2"/>
  <c r="GK7" i="2"/>
  <c r="GK5" i="2"/>
  <c r="GK15" i="4"/>
  <c r="GK13" i="4"/>
  <c r="GK11" i="4"/>
  <c r="GK9" i="4"/>
  <c r="GK7" i="4"/>
  <c r="GK4" i="4"/>
  <c r="GK31" i="1"/>
  <c r="GK29" i="1"/>
  <c r="GK27" i="1"/>
  <c r="GK25" i="1"/>
  <c r="GK23" i="1"/>
  <c r="GK21" i="1"/>
  <c r="GK19" i="1"/>
  <c r="GK17" i="1"/>
  <c r="GK15" i="1"/>
  <c r="GK13" i="1"/>
  <c r="GK11" i="1"/>
  <c r="GK9" i="1"/>
  <c r="GK6" i="1"/>
  <c r="GX7" i="1" s="1"/>
  <c r="GK4" i="1"/>
  <c r="GJ7" i="3"/>
  <c r="GJ5" i="3"/>
  <c r="GJ27" i="2"/>
  <c r="GJ25" i="2"/>
  <c r="GJ23" i="2"/>
  <c r="GJ21" i="2"/>
  <c r="GJ19" i="2"/>
  <c r="GJ17" i="2"/>
  <c r="GJ15" i="2"/>
  <c r="GJ13" i="2"/>
  <c r="GJ11" i="2"/>
  <c r="GJ9" i="2"/>
  <c r="GJ7" i="2"/>
  <c r="GJ5" i="2"/>
  <c r="GJ15" i="4"/>
  <c r="GJ13" i="4"/>
  <c r="GJ11" i="4"/>
  <c r="GJ9" i="4"/>
  <c r="GJ7" i="4"/>
  <c r="GJ4" i="4"/>
  <c r="GW5" i="4" s="1"/>
  <c r="GJ31" i="1"/>
  <c r="GJ29" i="1"/>
  <c r="GJ27" i="1"/>
  <c r="GJ25" i="1"/>
  <c r="GJ23" i="1"/>
  <c r="GJ21" i="1"/>
  <c r="GJ19" i="1"/>
  <c r="GJ17" i="1"/>
  <c r="GJ15" i="1"/>
  <c r="GJ13" i="1"/>
  <c r="GJ11" i="1"/>
  <c r="GJ9" i="1"/>
  <c r="GJ6" i="1"/>
  <c r="GW7" i="1" s="1"/>
  <c r="GJ4" i="1"/>
  <c r="GH7" i="3"/>
  <c r="GH5" i="3"/>
  <c r="GI7" i="3"/>
  <c r="GI5" i="3"/>
  <c r="GI27" i="2"/>
  <c r="GI25" i="2"/>
  <c r="GI23" i="2"/>
  <c r="GI21" i="2"/>
  <c r="GI19" i="2"/>
  <c r="GI17" i="2"/>
  <c r="GI15" i="2"/>
  <c r="GI13" i="2"/>
  <c r="GI11" i="2"/>
  <c r="GI9" i="2"/>
  <c r="GI7" i="2"/>
  <c r="GI5" i="2"/>
  <c r="GH15" i="4"/>
  <c r="GH13" i="4"/>
  <c r="GH11" i="4"/>
  <c r="GH9" i="4"/>
  <c r="GH7" i="4"/>
  <c r="GH4" i="4"/>
  <c r="GU5" i="4" s="1"/>
  <c r="GI31" i="1"/>
  <c r="GI29" i="1"/>
  <c r="GI27" i="1"/>
  <c r="GI25" i="1"/>
  <c r="GI23" i="1"/>
  <c r="GI21" i="1"/>
  <c r="GI19" i="1"/>
  <c r="GI17" i="1"/>
  <c r="GI15" i="1"/>
  <c r="GI13" i="1"/>
  <c r="GI11" i="1"/>
  <c r="GI9" i="1"/>
  <c r="GI6" i="1"/>
  <c r="GI4" i="1"/>
  <c r="GH27" i="2"/>
  <c r="GH25" i="2"/>
  <c r="GH23" i="2"/>
  <c r="GH21" i="2"/>
  <c r="GH19" i="2"/>
  <c r="GH17" i="2"/>
  <c r="GH15" i="2"/>
  <c r="GH13" i="2"/>
  <c r="GH11" i="2"/>
  <c r="GH9" i="2"/>
  <c r="GH7" i="2"/>
  <c r="GH5" i="2"/>
  <c r="GI15" i="4"/>
  <c r="GI13" i="4"/>
  <c r="GI11" i="4"/>
  <c r="GI9" i="4"/>
  <c r="GI7" i="4"/>
  <c r="GI4" i="4"/>
  <c r="GH31" i="1"/>
  <c r="GH29" i="1"/>
  <c r="GH27" i="1"/>
  <c r="GH25" i="1"/>
  <c r="GH23" i="1"/>
  <c r="GH21" i="1"/>
  <c r="GH19" i="1"/>
  <c r="GH17" i="1"/>
  <c r="GH15" i="1"/>
  <c r="GH13" i="1"/>
  <c r="GH11" i="1"/>
  <c r="GH9" i="1"/>
  <c r="GH6" i="1"/>
  <c r="GH4" i="1"/>
  <c r="GG7" i="3"/>
  <c r="GG5" i="3"/>
  <c r="GG27" i="2"/>
  <c r="GG25" i="2"/>
  <c r="GG23" i="2"/>
  <c r="GG21" i="2"/>
  <c r="GG19" i="2"/>
  <c r="GG17" i="2"/>
  <c r="GG15" i="2"/>
  <c r="GG13" i="2"/>
  <c r="GG11" i="2"/>
  <c r="GG9" i="2"/>
  <c r="GG7" i="2"/>
  <c r="GG5" i="2"/>
  <c r="GG15" i="4"/>
  <c r="GG13" i="4"/>
  <c r="GG11" i="4"/>
  <c r="GG9" i="4"/>
  <c r="GG7" i="4"/>
  <c r="GG4" i="4"/>
  <c r="GG31" i="1"/>
  <c r="GG29" i="1"/>
  <c r="GG27" i="1"/>
  <c r="GG25" i="1"/>
  <c r="GG23" i="1"/>
  <c r="GG21" i="1"/>
  <c r="GG19" i="1"/>
  <c r="GG17" i="1"/>
  <c r="GG15" i="1"/>
  <c r="GG13" i="1"/>
  <c r="GG11" i="1"/>
  <c r="GG9" i="1"/>
  <c r="GG6" i="1"/>
  <c r="GG4" i="1"/>
  <c r="GF7" i="3"/>
  <c r="GF5" i="3"/>
  <c r="GF27" i="2"/>
  <c r="GF25" i="2"/>
  <c r="GF23" i="2"/>
  <c r="GF21" i="2"/>
  <c r="GF19" i="2"/>
  <c r="GF17" i="2"/>
  <c r="GF15" i="2"/>
  <c r="GF13" i="2"/>
  <c r="GF11" i="2"/>
  <c r="GF9" i="2"/>
  <c r="GF7" i="2"/>
  <c r="GF5" i="2"/>
  <c r="GF15" i="4"/>
  <c r="GF13" i="4"/>
  <c r="GF11" i="4"/>
  <c r="GF9" i="4"/>
  <c r="GF7" i="4"/>
  <c r="GF4" i="4"/>
  <c r="GS5" i="4" s="1"/>
  <c r="GF31" i="1"/>
  <c r="GF29" i="1"/>
  <c r="GF27" i="1"/>
  <c r="GF25" i="1"/>
  <c r="GF23" i="1"/>
  <c r="GF21" i="1"/>
  <c r="GF19" i="1"/>
  <c r="GF17" i="1"/>
  <c r="GF15" i="1"/>
  <c r="GF13" i="1"/>
  <c r="GF11" i="1"/>
  <c r="GF9" i="1"/>
  <c r="GF6" i="1"/>
  <c r="GF4" i="1"/>
  <c r="GS5" i="1" s="1"/>
  <c r="GE7" i="3"/>
  <c r="GE5" i="3"/>
  <c r="GE27" i="2"/>
  <c r="GE25" i="2"/>
  <c r="GE23" i="2"/>
  <c r="GE21" i="2"/>
  <c r="GE19" i="2"/>
  <c r="GE17" i="2"/>
  <c r="GE15" i="2"/>
  <c r="GE13" i="2"/>
  <c r="GE11" i="2"/>
  <c r="GE9" i="2"/>
  <c r="GE7" i="2"/>
  <c r="GE5" i="2"/>
  <c r="GE15" i="4"/>
  <c r="GE13" i="4"/>
  <c r="GE11" i="4"/>
  <c r="GE9" i="4"/>
  <c r="GE7" i="4"/>
  <c r="GE4" i="4"/>
  <c r="GE31" i="1"/>
  <c r="GE29" i="1"/>
  <c r="GE27" i="1"/>
  <c r="GE25" i="1"/>
  <c r="GE23" i="1"/>
  <c r="GE21" i="1"/>
  <c r="GE19" i="1"/>
  <c r="GE17" i="1"/>
  <c r="GE15" i="1"/>
  <c r="GE13" i="1"/>
  <c r="GE11" i="1"/>
  <c r="GE9" i="1"/>
  <c r="GE6" i="1"/>
  <c r="GE4" i="1"/>
  <c r="GD7" i="3"/>
  <c r="GD5" i="3"/>
  <c r="GD27" i="2"/>
  <c r="GD25" i="2"/>
  <c r="GD23" i="2"/>
  <c r="GD21" i="2"/>
  <c r="GD19" i="2"/>
  <c r="GD17" i="2"/>
  <c r="GD15" i="2"/>
  <c r="GD13" i="2"/>
  <c r="GD11" i="2"/>
  <c r="GD9" i="2"/>
  <c r="GD7" i="2"/>
  <c r="GD5" i="2"/>
  <c r="GD15" i="4"/>
  <c r="GD13" i="4"/>
  <c r="GD11" i="4"/>
  <c r="GD9" i="4"/>
  <c r="GD7" i="4"/>
  <c r="GD4" i="4"/>
  <c r="GQ5" i="4" s="1"/>
  <c r="GD31" i="1"/>
  <c r="GD29" i="1"/>
  <c r="GD27" i="1"/>
  <c r="GD25" i="1"/>
  <c r="GD23" i="1"/>
  <c r="GD21" i="1"/>
  <c r="GD19" i="1"/>
  <c r="GD17" i="1"/>
  <c r="GD15" i="1"/>
  <c r="GD13" i="1"/>
  <c r="GD11" i="1"/>
  <c r="GD9" i="1"/>
  <c r="GD6" i="1"/>
  <c r="GQ7" i="1" s="1"/>
  <c r="GD4" i="1"/>
  <c r="GQ5" i="1"/>
  <c r="GC7" i="3"/>
  <c r="GC5" i="3"/>
  <c r="GC27" i="2"/>
  <c r="GC25" i="2"/>
  <c r="GC23" i="2"/>
  <c r="GC21" i="2"/>
  <c r="GC19" i="2"/>
  <c r="GC17" i="2"/>
  <c r="GC15" i="2"/>
  <c r="GC13" i="2"/>
  <c r="GC11" i="2"/>
  <c r="GC9" i="2"/>
  <c r="GC7" i="2"/>
  <c r="GC5" i="2"/>
  <c r="GC15" i="4"/>
  <c r="GC13" i="4"/>
  <c r="GC11" i="4"/>
  <c r="GC9" i="4"/>
  <c r="GC7" i="4"/>
  <c r="GC4" i="4"/>
  <c r="GC31" i="1"/>
  <c r="GC29" i="1"/>
  <c r="GC27" i="1"/>
  <c r="GC25" i="1"/>
  <c r="GC23" i="1"/>
  <c r="GC21" i="1"/>
  <c r="GC19" i="1"/>
  <c r="GC17" i="1"/>
  <c r="GC15" i="1"/>
  <c r="GC13" i="1"/>
  <c r="GC11" i="1"/>
  <c r="GC9" i="1"/>
  <c r="GC6" i="1"/>
  <c r="GC4" i="1"/>
  <c r="GP5" i="1" s="1"/>
  <c r="GB7" i="3"/>
  <c r="GB5" i="3"/>
  <c r="GB27" i="2"/>
  <c r="GB25" i="2"/>
  <c r="GB23" i="2"/>
  <c r="GB21" i="2"/>
  <c r="GB19" i="2"/>
  <c r="GB17" i="2"/>
  <c r="GB15" i="2"/>
  <c r="GB13" i="2"/>
  <c r="GB11" i="2"/>
  <c r="GB9" i="2"/>
  <c r="GB7" i="2"/>
  <c r="GB5" i="2"/>
  <c r="GB15" i="4"/>
  <c r="GB13" i="4"/>
  <c r="GB11" i="4"/>
  <c r="GB9" i="4"/>
  <c r="GB7" i="4"/>
  <c r="GB4" i="4"/>
  <c r="GB31" i="1"/>
  <c r="GB29" i="1"/>
  <c r="GB27" i="1"/>
  <c r="GB25" i="1"/>
  <c r="GB23" i="1"/>
  <c r="GB21" i="1"/>
  <c r="GB19" i="1"/>
  <c r="GB17" i="1"/>
  <c r="GB15" i="1"/>
  <c r="GB13" i="1"/>
  <c r="GB11" i="1"/>
  <c r="GB9" i="1"/>
  <c r="GB6" i="1"/>
  <c r="GO7" i="1" s="1"/>
  <c r="GB4" i="1"/>
  <c r="GA7" i="3"/>
  <c r="GA5" i="3"/>
  <c r="GA27" i="2"/>
  <c r="GA25" i="2"/>
  <c r="GA23" i="2"/>
  <c r="GA21" i="2"/>
  <c r="GA19" i="2"/>
  <c r="GA17" i="2"/>
  <c r="GA15" i="2"/>
  <c r="GA13" i="2"/>
  <c r="GA11" i="2"/>
  <c r="GA9" i="2"/>
  <c r="GA7" i="2"/>
  <c r="GA5" i="2"/>
  <c r="GA15" i="4"/>
  <c r="GA13" i="4"/>
  <c r="GA11" i="4"/>
  <c r="GA9" i="4"/>
  <c r="GA7" i="4"/>
  <c r="GA4" i="4"/>
  <c r="GN5" i="4" s="1"/>
  <c r="GA31" i="1"/>
  <c r="GA29" i="1"/>
  <c r="GA27" i="1"/>
  <c r="GA25" i="1"/>
  <c r="GA23" i="1"/>
  <c r="GA21" i="1"/>
  <c r="GA19" i="1"/>
  <c r="GA17" i="1"/>
  <c r="GA15" i="1"/>
  <c r="GA13" i="1"/>
  <c r="GA11" i="1"/>
  <c r="GA9" i="1"/>
  <c r="GA6" i="1"/>
  <c r="GN7" i="1"/>
  <c r="GA4" i="1"/>
  <c r="FZ7" i="4"/>
  <c r="FZ7" i="3"/>
  <c r="FY6" i="3"/>
  <c r="FZ5" i="3"/>
  <c r="FY4" i="3"/>
  <c r="GL5" i="3" s="1"/>
  <c r="FZ27" i="2"/>
  <c r="FY26" i="2"/>
  <c r="FZ25" i="2"/>
  <c r="FY24" i="2"/>
  <c r="FZ23" i="2"/>
  <c r="FY22" i="2"/>
  <c r="FZ21" i="2"/>
  <c r="FY20" i="2"/>
  <c r="FZ19" i="2"/>
  <c r="FY18" i="2"/>
  <c r="FZ17" i="2"/>
  <c r="FY16" i="2"/>
  <c r="GL17" i="2" s="1"/>
  <c r="FZ15" i="2"/>
  <c r="FY14" i="2"/>
  <c r="FZ13" i="2"/>
  <c r="FY12" i="2"/>
  <c r="FZ11" i="2"/>
  <c r="FY10" i="2"/>
  <c r="FZ9" i="2"/>
  <c r="FY8" i="2"/>
  <c r="FZ7" i="2"/>
  <c r="FY6" i="2"/>
  <c r="FZ5" i="2"/>
  <c r="FY4" i="2"/>
  <c r="FZ15" i="4"/>
  <c r="FY14" i="4"/>
  <c r="FZ13" i="4"/>
  <c r="FY12" i="4"/>
  <c r="FZ11" i="4"/>
  <c r="FY10" i="4"/>
  <c r="FZ9" i="4"/>
  <c r="FY8" i="4"/>
  <c r="FY6" i="4"/>
  <c r="GL7" i="4" s="1"/>
  <c r="FZ4" i="4"/>
  <c r="FZ31" i="1"/>
  <c r="FY30" i="1"/>
  <c r="GL31" i="1" s="1"/>
  <c r="FZ29" i="1"/>
  <c r="FY28" i="1"/>
  <c r="GL29" i="1" s="1"/>
  <c r="FZ27" i="1"/>
  <c r="FY26" i="1"/>
  <c r="GL27" i="1" s="1"/>
  <c r="FZ25" i="1"/>
  <c r="FY24" i="1"/>
  <c r="FZ23" i="1"/>
  <c r="FY22" i="1"/>
  <c r="GL23" i="1" s="1"/>
  <c r="FZ21" i="1"/>
  <c r="FY20" i="1"/>
  <c r="GL21" i="1" s="1"/>
  <c r="FZ19" i="1"/>
  <c r="FY18" i="1"/>
  <c r="GL19" i="1"/>
  <c r="FZ17" i="1"/>
  <c r="FY16" i="1"/>
  <c r="FZ15" i="1"/>
  <c r="FY14" i="1"/>
  <c r="GL15" i="1" s="1"/>
  <c r="FZ13" i="1"/>
  <c r="FY12" i="1"/>
  <c r="FZ11" i="1"/>
  <c r="FY10" i="1"/>
  <c r="GL11" i="1" s="1"/>
  <c r="FZ9" i="1"/>
  <c r="FY8" i="1"/>
  <c r="FZ6" i="1"/>
  <c r="GM7" i="1" s="1"/>
  <c r="FZ4" i="1"/>
  <c r="FX7" i="3"/>
  <c r="FX5" i="3"/>
  <c r="FX27" i="2"/>
  <c r="FX25" i="2"/>
  <c r="FX23" i="2"/>
  <c r="FX21" i="2"/>
  <c r="FX19" i="2"/>
  <c r="FX17" i="2"/>
  <c r="FX15" i="2"/>
  <c r="FX13" i="2"/>
  <c r="FX11" i="2"/>
  <c r="FX9" i="2"/>
  <c r="FX7" i="2"/>
  <c r="FX5" i="2"/>
  <c r="FX15" i="4"/>
  <c r="FX13" i="4"/>
  <c r="FX11" i="4"/>
  <c r="FX9" i="4"/>
  <c r="FX7" i="4"/>
  <c r="FX4" i="4"/>
  <c r="FX31" i="1"/>
  <c r="FX29" i="1"/>
  <c r="FX27" i="1"/>
  <c r="FX25" i="1"/>
  <c r="FX23" i="1"/>
  <c r="FX21" i="1"/>
  <c r="FX19" i="1"/>
  <c r="FX17" i="1"/>
  <c r="FX15" i="1"/>
  <c r="FX13" i="1"/>
  <c r="FX11" i="1"/>
  <c r="FX9" i="1"/>
  <c r="FX6" i="1"/>
  <c r="GK7" i="1"/>
  <c r="FX4" i="1"/>
  <c r="GK5" i="1" s="1"/>
  <c r="FW7" i="3"/>
  <c r="FW5" i="3"/>
  <c r="FW27" i="2"/>
  <c r="FW25" i="2"/>
  <c r="FW23" i="2"/>
  <c r="FW21" i="2"/>
  <c r="FW19" i="2"/>
  <c r="FW17" i="2"/>
  <c r="FW15" i="2"/>
  <c r="FW13" i="2"/>
  <c r="FW11" i="2"/>
  <c r="FW9" i="2"/>
  <c r="FW7" i="2"/>
  <c r="FW5" i="2"/>
  <c r="FW15" i="4"/>
  <c r="FW13" i="4"/>
  <c r="FW11" i="4"/>
  <c r="FW9" i="4"/>
  <c r="FW7" i="4"/>
  <c r="FW4" i="4"/>
  <c r="FW31" i="1"/>
  <c r="FW29" i="1"/>
  <c r="FW27" i="1"/>
  <c r="FW25" i="1"/>
  <c r="FW23" i="1"/>
  <c r="FW21" i="1"/>
  <c r="FW19" i="1"/>
  <c r="FW17" i="1"/>
  <c r="FW15" i="1"/>
  <c r="FW13" i="1"/>
  <c r="FW11" i="1"/>
  <c r="FW9" i="1"/>
  <c r="FW6" i="1"/>
  <c r="GJ7" i="1"/>
  <c r="FW4" i="1"/>
  <c r="FV7" i="3"/>
  <c r="FV5" i="3"/>
  <c r="FV27" i="2"/>
  <c r="FV25" i="2"/>
  <c r="FV23" i="2"/>
  <c r="FV21" i="2"/>
  <c r="FV19" i="2"/>
  <c r="FV17" i="2"/>
  <c r="FV15" i="2"/>
  <c r="FV13" i="2"/>
  <c r="FV11" i="2"/>
  <c r="FV9" i="2"/>
  <c r="FV7" i="2"/>
  <c r="FV5" i="2"/>
  <c r="FV15" i="4"/>
  <c r="FV13" i="4"/>
  <c r="FV11" i="4"/>
  <c r="FV9" i="4"/>
  <c r="FV7" i="4"/>
  <c r="FV4" i="4"/>
  <c r="FV31" i="1"/>
  <c r="FV29" i="1"/>
  <c r="FV27" i="1"/>
  <c r="FV25" i="1"/>
  <c r="FV23" i="1"/>
  <c r="FV21" i="1"/>
  <c r="FV19" i="1"/>
  <c r="FV17" i="1"/>
  <c r="FV15" i="1"/>
  <c r="FV13" i="1"/>
  <c r="FV11" i="1"/>
  <c r="FV9" i="1"/>
  <c r="FV6" i="1"/>
  <c r="FV4" i="1"/>
  <c r="FU7" i="3"/>
  <c r="FU5" i="3"/>
  <c r="FU27" i="2"/>
  <c r="FU25" i="2"/>
  <c r="FU23" i="2"/>
  <c r="FU21" i="2"/>
  <c r="FU19" i="2"/>
  <c r="FU17" i="2"/>
  <c r="FU15" i="2"/>
  <c r="FU13" i="2"/>
  <c r="FU11" i="2"/>
  <c r="FU9" i="2"/>
  <c r="FU7" i="2"/>
  <c r="FU5" i="2"/>
  <c r="FU15" i="4"/>
  <c r="FU13" i="4"/>
  <c r="FU11" i="4"/>
  <c r="FU9" i="4"/>
  <c r="FU7" i="4"/>
  <c r="FU4" i="4"/>
  <c r="FU31" i="1"/>
  <c r="FU29" i="1"/>
  <c r="FU27" i="1"/>
  <c r="FU25" i="1"/>
  <c r="FU23" i="1"/>
  <c r="FU21" i="1"/>
  <c r="FU19" i="1"/>
  <c r="FU17" i="1"/>
  <c r="FU15" i="1"/>
  <c r="FU13" i="1"/>
  <c r="FU11" i="1"/>
  <c r="FU9" i="1"/>
  <c r="FU6" i="1"/>
  <c r="GH7" i="1"/>
  <c r="FU4" i="1"/>
  <c r="FT7" i="3"/>
  <c r="FT5" i="3"/>
  <c r="FT27" i="2"/>
  <c r="FT25" i="2"/>
  <c r="FT23" i="2"/>
  <c r="FT21" i="2"/>
  <c r="FT19" i="2"/>
  <c r="FT17" i="2"/>
  <c r="FT15" i="2"/>
  <c r="FT13" i="2"/>
  <c r="FT11" i="2"/>
  <c r="FT9" i="2"/>
  <c r="FT7" i="2"/>
  <c r="FT5" i="2"/>
  <c r="FT4" i="4"/>
  <c r="FT15" i="4"/>
  <c r="FT13" i="4"/>
  <c r="FT11" i="4"/>
  <c r="FT9" i="4"/>
  <c r="FT7" i="4"/>
  <c r="FT31" i="1"/>
  <c r="FT29" i="1"/>
  <c r="FT27" i="1"/>
  <c r="FT25" i="1"/>
  <c r="FT23" i="1"/>
  <c r="FT21" i="1"/>
  <c r="FT19" i="1"/>
  <c r="FT17" i="1"/>
  <c r="FT15" i="1"/>
  <c r="FT13" i="1"/>
  <c r="FT11" i="1"/>
  <c r="FT9" i="1"/>
  <c r="FT6" i="1"/>
  <c r="GG7" i="1" s="1"/>
  <c r="FT4" i="1"/>
  <c r="FS31" i="1"/>
  <c r="FS29" i="1"/>
  <c r="FS27" i="1"/>
  <c r="FS25" i="1"/>
  <c r="FS23" i="1"/>
  <c r="FS21" i="1"/>
  <c r="FS19" i="1"/>
  <c r="FS17" i="1"/>
  <c r="FS15" i="1"/>
  <c r="FS13" i="1"/>
  <c r="FS11" i="1"/>
  <c r="FS9" i="1"/>
  <c r="FS6" i="1"/>
  <c r="FS4" i="1"/>
  <c r="FS15" i="4"/>
  <c r="FS13" i="4"/>
  <c r="FS11" i="4"/>
  <c r="FS9" i="4"/>
  <c r="FS7" i="4"/>
  <c r="FS4" i="4"/>
  <c r="FS27" i="2"/>
  <c r="FS25" i="2"/>
  <c r="FS23" i="2"/>
  <c r="FS21" i="2"/>
  <c r="FS19" i="2"/>
  <c r="FS17" i="2"/>
  <c r="FS15" i="2"/>
  <c r="FS13" i="2"/>
  <c r="FS11" i="2"/>
  <c r="FS9" i="2"/>
  <c r="FS7" i="2"/>
  <c r="FS5" i="2"/>
  <c r="FS7" i="3"/>
  <c r="FS5" i="3"/>
  <c r="FR7" i="3"/>
  <c r="FR5" i="3"/>
  <c r="FR27" i="2"/>
  <c r="FR25" i="2"/>
  <c r="FR23" i="2"/>
  <c r="FR21" i="2"/>
  <c r="FR19" i="2"/>
  <c r="FR17" i="2"/>
  <c r="FR15" i="2"/>
  <c r="FR13" i="2"/>
  <c r="FR11" i="2"/>
  <c r="FR9" i="2"/>
  <c r="FR7" i="2"/>
  <c r="FR5" i="2"/>
  <c r="FR15" i="4"/>
  <c r="FR13" i="4"/>
  <c r="FR11" i="4"/>
  <c r="FR9" i="4"/>
  <c r="FR7" i="4"/>
  <c r="FR4" i="4"/>
  <c r="FR31" i="1"/>
  <c r="FR29" i="1"/>
  <c r="FR27" i="1"/>
  <c r="FR25" i="1"/>
  <c r="FR23" i="1"/>
  <c r="FR21" i="1"/>
  <c r="FR19" i="1"/>
  <c r="FR17" i="1"/>
  <c r="FR15" i="1"/>
  <c r="FR13" i="1"/>
  <c r="FR11" i="1"/>
  <c r="FR9" i="1"/>
  <c r="FR6" i="1"/>
  <c r="FR4" i="1"/>
  <c r="FQ7" i="3"/>
  <c r="FQ5" i="3"/>
  <c r="FQ27" i="2"/>
  <c r="FQ25" i="2"/>
  <c r="FQ23" i="2"/>
  <c r="FQ21" i="2"/>
  <c r="FQ19" i="2"/>
  <c r="FQ17" i="2"/>
  <c r="FQ15" i="2"/>
  <c r="FQ13" i="2"/>
  <c r="FQ11" i="2"/>
  <c r="FQ9" i="2"/>
  <c r="FQ7" i="2"/>
  <c r="FQ5" i="2"/>
  <c r="FQ15" i="4"/>
  <c r="FQ13" i="4"/>
  <c r="FQ11" i="4"/>
  <c r="FQ9" i="4"/>
  <c r="FQ7" i="4"/>
  <c r="FQ4" i="4"/>
  <c r="FQ31" i="1"/>
  <c r="FQ29" i="1"/>
  <c r="FQ27" i="1"/>
  <c r="FQ25" i="1"/>
  <c r="FQ23" i="1"/>
  <c r="FQ21" i="1"/>
  <c r="FQ19" i="1"/>
  <c r="FQ17" i="1"/>
  <c r="FQ15" i="1"/>
  <c r="FQ13" i="1"/>
  <c r="FQ11" i="1"/>
  <c r="FQ9" i="1"/>
  <c r="FQ6" i="1"/>
  <c r="FQ4" i="1"/>
  <c r="GD5" i="1" s="1"/>
  <c r="FP7" i="3"/>
  <c r="FP5" i="3"/>
  <c r="FP27" i="2"/>
  <c r="FP25" i="2"/>
  <c r="FP23" i="2"/>
  <c r="FP21" i="2"/>
  <c r="FP19" i="2"/>
  <c r="FP17" i="2"/>
  <c r="FP15" i="2"/>
  <c r="FP13" i="2"/>
  <c r="FP11" i="2"/>
  <c r="FP9" i="2"/>
  <c r="FP7" i="2"/>
  <c r="FP5" i="2"/>
  <c r="FP15" i="4"/>
  <c r="FP13" i="4"/>
  <c r="FP11" i="4"/>
  <c r="FP9" i="4"/>
  <c r="FP7" i="4"/>
  <c r="FP4" i="4"/>
  <c r="GC5" i="4" s="1"/>
  <c r="FP31" i="1"/>
  <c r="FP29" i="1"/>
  <c r="FP27" i="1"/>
  <c r="FP25" i="1"/>
  <c r="FP23" i="1"/>
  <c r="FP21" i="1"/>
  <c r="FP19" i="1"/>
  <c r="FP17" i="1"/>
  <c r="FP15" i="1"/>
  <c r="FP13" i="1"/>
  <c r="FP11" i="1"/>
  <c r="FP9" i="1"/>
  <c r="FP6" i="1"/>
  <c r="FP4" i="1"/>
  <c r="FO7" i="3"/>
  <c r="FO5" i="3"/>
  <c r="FO27" i="2"/>
  <c r="FO25" i="2"/>
  <c r="FO23" i="2"/>
  <c r="FO21" i="2"/>
  <c r="FO19" i="2"/>
  <c r="FO17" i="2"/>
  <c r="FO15" i="2"/>
  <c r="FO13" i="2"/>
  <c r="FO11" i="2"/>
  <c r="FO9" i="2"/>
  <c r="FO7" i="2"/>
  <c r="FO5" i="2"/>
  <c r="FO15" i="4"/>
  <c r="FO13" i="4"/>
  <c r="FO11" i="4"/>
  <c r="FO9" i="4"/>
  <c r="FO7" i="4"/>
  <c r="FO4" i="4"/>
  <c r="FO31" i="1"/>
  <c r="FO29" i="1"/>
  <c r="FO27" i="1"/>
  <c r="FO25" i="1"/>
  <c r="FO23" i="1"/>
  <c r="FO21" i="1"/>
  <c r="FO19" i="1"/>
  <c r="FO17" i="1"/>
  <c r="FO15" i="1"/>
  <c r="FO13" i="1"/>
  <c r="FO11" i="1"/>
  <c r="FO9" i="1"/>
  <c r="FO6" i="1"/>
  <c r="GB7" i="1" s="1"/>
  <c r="FO4" i="1"/>
  <c r="FN7" i="3"/>
  <c r="FN5" i="3"/>
  <c r="FN27" i="2"/>
  <c r="FN25" i="2"/>
  <c r="FN23" i="2"/>
  <c r="FN21" i="2"/>
  <c r="FN19" i="2"/>
  <c r="FN17" i="2"/>
  <c r="FN15" i="2"/>
  <c r="FN13" i="2"/>
  <c r="FN11" i="2"/>
  <c r="FN9" i="2"/>
  <c r="FN7" i="2"/>
  <c r="FN5" i="2"/>
  <c r="FN15" i="4"/>
  <c r="FN13" i="4"/>
  <c r="FN11" i="4"/>
  <c r="FN9" i="4"/>
  <c r="FN7" i="4"/>
  <c r="FN4" i="4"/>
  <c r="GA5" i="4" s="1"/>
  <c r="FN31" i="1"/>
  <c r="FN29" i="1"/>
  <c r="FN27" i="1"/>
  <c r="FN25" i="1"/>
  <c r="FN23" i="1"/>
  <c r="FN21" i="1"/>
  <c r="FN19" i="1"/>
  <c r="FN17" i="1"/>
  <c r="FN15" i="1"/>
  <c r="FN13" i="1"/>
  <c r="FN11" i="1"/>
  <c r="FN9" i="1"/>
  <c r="FN6" i="1"/>
  <c r="FN4" i="1"/>
  <c r="FM9" i="1"/>
  <c r="FK5" i="3"/>
  <c r="FM5" i="3"/>
  <c r="FM7" i="3"/>
  <c r="FM27" i="2"/>
  <c r="FM25" i="2"/>
  <c r="FM23" i="2"/>
  <c r="FM21" i="2"/>
  <c r="FM19" i="2"/>
  <c r="FM17" i="2"/>
  <c r="FM15" i="2"/>
  <c r="FM13" i="2"/>
  <c r="FM11" i="2"/>
  <c r="FM9" i="2"/>
  <c r="FM7" i="2"/>
  <c r="FM5" i="2"/>
  <c r="FM15" i="4"/>
  <c r="FM13" i="4"/>
  <c r="FM11" i="4"/>
  <c r="FM9" i="4"/>
  <c r="FM7" i="4"/>
  <c r="FM4" i="4"/>
  <c r="FM31" i="1"/>
  <c r="FM29" i="1"/>
  <c r="FM27" i="1"/>
  <c r="FM25" i="1"/>
  <c r="FM23" i="1"/>
  <c r="FM21" i="1"/>
  <c r="FM19" i="1"/>
  <c r="FM17" i="1"/>
  <c r="FM15" i="1"/>
  <c r="FM13" i="1"/>
  <c r="FM11" i="1"/>
  <c r="FM6" i="1"/>
  <c r="FM4" i="1"/>
  <c r="FY4" i="1" s="1"/>
  <c r="FL4" i="3"/>
  <c r="FL6" i="3"/>
  <c r="FK7" i="3"/>
  <c r="FL4" i="2"/>
  <c r="FY5" i="2" s="1"/>
  <c r="FL26" i="2"/>
  <c r="FL24" i="2"/>
  <c r="FL22" i="2"/>
  <c r="FY23" i="2" s="1"/>
  <c r="FL20" i="2"/>
  <c r="FY21" i="2" s="1"/>
  <c r="FL18" i="2"/>
  <c r="FY19" i="2"/>
  <c r="FL16" i="2"/>
  <c r="FL14" i="2"/>
  <c r="FL12" i="2"/>
  <c r="FY13" i="2" s="1"/>
  <c r="FL10" i="2"/>
  <c r="FY11" i="2" s="1"/>
  <c r="FL8" i="2"/>
  <c r="FL6" i="2"/>
  <c r="FY7" i="2" s="1"/>
  <c r="FK27" i="2"/>
  <c r="FK25" i="2"/>
  <c r="FK23" i="2"/>
  <c r="FK21" i="2"/>
  <c r="FK19" i="2"/>
  <c r="FK17" i="2"/>
  <c r="FK15" i="2"/>
  <c r="FK13" i="2"/>
  <c r="FK11" i="2"/>
  <c r="FK9" i="2"/>
  <c r="FK7" i="2"/>
  <c r="FK5" i="2"/>
  <c r="FL14" i="4"/>
  <c r="FL12" i="4"/>
  <c r="FL10" i="4"/>
  <c r="FL8" i="4"/>
  <c r="FL6" i="4"/>
  <c r="FK15" i="4"/>
  <c r="FK13" i="4"/>
  <c r="FK11" i="4"/>
  <c r="FK9" i="4"/>
  <c r="FK7" i="4"/>
  <c r="FK4" i="4"/>
  <c r="FL30" i="1"/>
  <c r="FY31" i="1" s="1"/>
  <c r="FL28" i="1"/>
  <c r="FY29" i="1"/>
  <c r="FL26" i="1"/>
  <c r="FY27" i="1" s="1"/>
  <c r="FL24" i="1"/>
  <c r="FL22" i="1"/>
  <c r="FY23" i="1" s="1"/>
  <c r="FL20" i="1"/>
  <c r="FY21" i="1"/>
  <c r="FL18" i="1"/>
  <c r="FY19" i="1" s="1"/>
  <c r="FL16" i="1"/>
  <c r="FL14" i="1"/>
  <c r="FY15" i="1"/>
  <c r="FL12" i="1"/>
  <c r="FL10" i="1"/>
  <c r="FY11" i="1" s="1"/>
  <c r="FL8" i="1"/>
  <c r="FY9" i="1" s="1"/>
  <c r="FK31" i="1"/>
  <c r="FK29" i="1"/>
  <c r="FK27" i="1"/>
  <c r="FK25" i="1"/>
  <c r="FK23" i="1"/>
  <c r="FK21" i="1"/>
  <c r="FK19" i="1"/>
  <c r="FK17" i="1"/>
  <c r="FK15" i="1"/>
  <c r="FK13" i="1"/>
  <c r="FK11" i="1"/>
  <c r="FK9" i="1"/>
  <c r="FK6" i="1"/>
  <c r="FK4" i="1"/>
  <c r="FJ7" i="3"/>
  <c r="FJ5" i="3"/>
  <c r="FJ27" i="2"/>
  <c r="FJ25" i="2"/>
  <c r="FJ23" i="2"/>
  <c r="FJ21" i="2"/>
  <c r="FJ19" i="2"/>
  <c r="FJ17" i="2"/>
  <c r="FJ15" i="2"/>
  <c r="FJ13" i="2"/>
  <c r="FJ11" i="2"/>
  <c r="FJ9" i="2"/>
  <c r="FJ7" i="2"/>
  <c r="FJ5" i="2"/>
  <c r="FJ15" i="4"/>
  <c r="FJ13" i="4"/>
  <c r="FJ11" i="4"/>
  <c r="FJ9" i="4"/>
  <c r="FJ7" i="4"/>
  <c r="FJ4" i="4"/>
  <c r="FJ5" i="4" s="1"/>
  <c r="FJ31" i="1"/>
  <c r="FJ29" i="1"/>
  <c r="FJ27" i="1"/>
  <c r="FJ25" i="1"/>
  <c r="FJ23" i="1"/>
  <c r="FJ21" i="1"/>
  <c r="FJ19" i="1"/>
  <c r="FJ17" i="1"/>
  <c r="FJ15" i="1"/>
  <c r="FJ13" i="1"/>
  <c r="FJ11" i="1"/>
  <c r="FJ9" i="1"/>
  <c r="FJ6" i="1"/>
  <c r="FJ4" i="1"/>
  <c r="FW5" i="1" s="1"/>
  <c r="FI7" i="3"/>
  <c r="FI5" i="3"/>
  <c r="FI27" i="2"/>
  <c r="FI25" i="2"/>
  <c r="FI23" i="2"/>
  <c r="FI21" i="2"/>
  <c r="FI19" i="2"/>
  <c r="FI17" i="2"/>
  <c r="FI15" i="2"/>
  <c r="FI13" i="2"/>
  <c r="FI11" i="2"/>
  <c r="FI9" i="2"/>
  <c r="FI7" i="2"/>
  <c r="FI5" i="2"/>
  <c r="FI15" i="4"/>
  <c r="FI13" i="4"/>
  <c r="FI11" i="4"/>
  <c r="FI9" i="4"/>
  <c r="FI7" i="4"/>
  <c r="FI4" i="4"/>
  <c r="FI31" i="1"/>
  <c r="FI29" i="1"/>
  <c r="FI27" i="1"/>
  <c r="FI25" i="1"/>
  <c r="FI23" i="1"/>
  <c r="FI21" i="1"/>
  <c r="FI19" i="1"/>
  <c r="FI17" i="1"/>
  <c r="FI15" i="1"/>
  <c r="FI13" i="1"/>
  <c r="FI11" i="1"/>
  <c r="FI9" i="1"/>
  <c r="FI6" i="1"/>
  <c r="FI4" i="1"/>
  <c r="FH7" i="3"/>
  <c r="FH5" i="3"/>
  <c r="FH27" i="2"/>
  <c r="FH25" i="2"/>
  <c r="FH23" i="2"/>
  <c r="FH21" i="2"/>
  <c r="FH19" i="2"/>
  <c r="FH17" i="2"/>
  <c r="FH15" i="2"/>
  <c r="FH13" i="2"/>
  <c r="FH11" i="2"/>
  <c r="FH9" i="2"/>
  <c r="FH7" i="2"/>
  <c r="FH5" i="2"/>
  <c r="FH15" i="4"/>
  <c r="FH13" i="4"/>
  <c r="FH11" i="4"/>
  <c r="FH9" i="4"/>
  <c r="FH7" i="4"/>
  <c r="FH4" i="4"/>
  <c r="FH31" i="1"/>
  <c r="FH29" i="1"/>
  <c r="FH27" i="1"/>
  <c r="FH25" i="1"/>
  <c r="FH23" i="1"/>
  <c r="FH21" i="1"/>
  <c r="FH19" i="1"/>
  <c r="FH17" i="1"/>
  <c r="FH15" i="1"/>
  <c r="FH13" i="1"/>
  <c r="FH11" i="1"/>
  <c r="FH9" i="1"/>
  <c r="FH6" i="1"/>
  <c r="FH4" i="1"/>
  <c r="FU5" i="1" s="1"/>
  <c r="FG7" i="3"/>
  <c r="FG5" i="3"/>
  <c r="FG27" i="2"/>
  <c r="FG25" i="2"/>
  <c r="FG23" i="2"/>
  <c r="FG21" i="2"/>
  <c r="FG19" i="2"/>
  <c r="FG17" i="2"/>
  <c r="FG15" i="2"/>
  <c r="FG13" i="2"/>
  <c r="FG11" i="2"/>
  <c r="FG9" i="2"/>
  <c r="FG7" i="2"/>
  <c r="FG5" i="2"/>
  <c r="FG15" i="4"/>
  <c r="FG13" i="4"/>
  <c r="FG11" i="4"/>
  <c r="FG9" i="4"/>
  <c r="FG7" i="4"/>
  <c r="FG4" i="4"/>
  <c r="FG31" i="1"/>
  <c r="FG29" i="1"/>
  <c r="FG27" i="1"/>
  <c r="FG25" i="1"/>
  <c r="FG23" i="1"/>
  <c r="FG21" i="1"/>
  <c r="FG19" i="1"/>
  <c r="FG17" i="1"/>
  <c r="FG15" i="1"/>
  <c r="FG13" i="1"/>
  <c r="FG11" i="1"/>
  <c r="FG9" i="1"/>
  <c r="FG6" i="1"/>
  <c r="FG4" i="1"/>
  <c r="FF7" i="3"/>
  <c r="FF5" i="3"/>
  <c r="FF27" i="2"/>
  <c r="FF25" i="2"/>
  <c r="FF23" i="2"/>
  <c r="FF21" i="2"/>
  <c r="FF19" i="2"/>
  <c r="FF17" i="2"/>
  <c r="FF15" i="2"/>
  <c r="FF13" i="2"/>
  <c r="FF11" i="2"/>
  <c r="FF9" i="2"/>
  <c r="FF7" i="2"/>
  <c r="FF5" i="2"/>
  <c r="FF15" i="4"/>
  <c r="FF13" i="4"/>
  <c r="FF11" i="4"/>
  <c r="FF9" i="4"/>
  <c r="FF7" i="4"/>
  <c r="FF4" i="4"/>
  <c r="FS5" i="4" s="1"/>
  <c r="FF31" i="1"/>
  <c r="FF29" i="1"/>
  <c r="FF27" i="1"/>
  <c r="FF25" i="1"/>
  <c r="FF23" i="1"/>
  <c r="FF21" i="1"/>
  <c r="FF19" i="1"/>
  <c r="FF17" i="1"/>
  <c r="FF15" i="1"/>
  <c r="FF13" i="1"/>
  <c r="FF11" i="1"/>
  <c r="FF9" i="1"/>
  <c r="FF6" i="1"/>
  <c r="FF4" i="1"/>
  <c r="FE7" i="3"/>
  <c r="FE5" i="3"/>
  <c r="FE27" i="2"/>
  <c r="FE25" i="2"/>
  <c r="FE23" i="2"/>
  <c r="FE21" i="2"/>
  <c r="FE19" i="2"/>
  <c r="FE17" i="2"/>
  <c r="FE15" i="2"/>
  <c r="FE13" i="2"/>
  <c r="FE11" i="2"/>
  <c r="FE9" i="2"/>
  <c r="FE7" i="2"/>
  <c r="FE5" i="2"/>
  <c r="FE15" i="4"/>
  <c r="FE13" i="4"/>
  <c r="FE11" i="4"/>
  <c r="FE9" i="4"/>
  <c r="FE7" i="4"/>
  <c r="FE4" i="4"/>
  <c r="FE31" i="1"/>
  <c r="FE29" i="1"/>
  <c r="FE27" i="1"/>
  <c r="FE25" i="1"/>
  <c r="FE23" i="1"/>
  <c r="FE21" i="1"/>
  <c r="FE19" i="1"/>
  <c r="FE17" i="1"/>
  <c r="FE15" i="1"/>
  <c r="FE13" i="1"/>
  <c r="FE11" i="1"/>
  <c r="FE9" i="1"/>
  <c r="FE6" i="1"/>
  <c r="FE4" i="1"/>
  <c r="FD7" i="3"/>
  <c r="FD5" i="3"/>
  <c r="FD27" i="2"/>
  <c r="FD25" i="2"/>
  <c r="FD23" i="2"/>
  <c r="FD21" i="2"/>
  <c r="FD19" i="2"/>
  <c r="FD17" i="2"/>
  <c r="FD15" i="2"/>
  <c r="FD13" i="2"/>
  <c r="FD11" i="2"/>
  <c r="FD9" i="2"/>
  <c r="FD7" i="2"/>
  <c r="FD5" i="2"/>
  <c r="FD15" i="4"/>
  <c r="FD13" i="4"/>
  <c r="FD11" i="4"/>
  <c r="FD9" i="4"/>
  <c r="FD7" i="4"/>
  <c r="FD4" i="4"/>
  <c r="FD31" i="1"/>
  <c r="FD29" i="1"/>
  <c r="FD27" i="1"/>
  <c r="FD25" i="1"/>
  <c r="FD23" i="1"/>
  <c r="FD21" i="1"/>
  <c r="FD19" i="1"/>
  <c r="FD17" i="1"/>
  <c r="FD15" i="1"/>
  <c r="FD13" i="1"/>
  <c r="FD11" i="1"/>
  <c r="FD9" i="1"/>
  <c r="FD6" i="1"/>
  <c r="FQ7" i="1" s="1"/>
  <c r="FD4" i="1"/>
  <c r="FC31" i="1"/>
  <c r="FC29" i="1"/>
  <c r="FC27" i="1"/>
  <c r="FC25" i="1"/>
  <c r="FC23" i="1"/>
  <c r="FC21" i="1"/>
  <c r="FC19" i="1"/>
  <c r="FC17" i="1"/>
  <c r="FC15" i="1"/>
  <c r="FC13" i="1"/>
  <c r="FC11" i="1"/>
  <c r="FC9" i="1"/>
  <c r="FC6" i="1"/>
  <c r="FC4" i="1"/>
  <c r="FC15" i="4"/>
  <c r="FC13" i="4"/>
  <c r="FC11" i="4"/>
  <c r="FC9" i="4"/>
  <c r="FC7" i="4"/>
  <c r="FC4" i="4"/>
  <c r="FC27" i="2"/>
  <c r="FC25" i="2"/>
  <c r="FC23" i="2"/>
  <c r="FC21" i="2"/>
  <c r="FC19" i="2"/>
  <c r="FC17" i="2"/>
  <c r="FC15" i="2"/>
  <c r="FC13" i="2"/>
  <c r="FC11" i="2"/>
  <c r="FC9" i="2"/>
  <c r="FC7" i="2"/>
  <c r="FC5" i="2"/>
  <c r="FC7" i="3"/>
  <c r="FC5" i="3"/>
  <c r="FB7" i="3"/>
  <c r="FB5" i="3"/>
  <c r="FB27" i="2"/>
  <c r="FB25" i="2"/>
  <c r="FB23" i="2"/>
  <c r="FB21" i="2"/>
  <c r="FB19" i="2"/>
  <c r="FB17" i="2"/>
  <c r="FB15" i="2"/>
  <c r="FB13" i="2"/>
  <c r="FB11" i="2"/>
  <c r="FB9" i="2"/>
  <c r="FB7" i="2"/>
  <c r="FB5" i="2"/>
  <c r="FB15" i="4"/>
  <c r="FB13" i="4"/>
  <c r="FB11" i="4"/>
  <c r="FB9" i="4"/>
  <c r="FB7" i="4"/>
  <c r="FB4" i="4"/>
  <c r="FB5" i="4" s="1"/>
  <c r="FB31" i="1"/>
  <c r="FB29" i="1"/>
  <c r="FB27" i="1"/>
  <c r="FB25" i="1"/>
  <c r="FB23" i="1"/>
  <c r="FB21" i="1"/>
  <c r="FB19" i="1"/>
  <c r="FB17" i="1"/>
  <c r="FB15" i="1"/>
  <c r="FB13" i="1"/>
  <c r="FB11" i="1"/>
  <c r="FB9" i="1"/>
  <c r="FB6" i="1"/>
  <c r="FO7" i="1" s="1"/>
  <c r="FB4" i="1"/>
  <c r="FA7" i="3"/>
  <c r="FA5" i="3"/>
  <c r="FA27" i="2"/>
  <c r="FA25" i="2"/>
  <c r="FA23" i="2"/>
  <c r="FA21" i="2"/>
  <c r="FA19" i="2"/>
  <c r="FA17" i="2"/>
  <c r="FA15" i="2"/>
  <c r="FA13" i="2"/>
  <c r="FA11" i="2"/>
  <c r="FA9" i="2"/>
  <c r="FA7" i="2"/>
  <c r="FA5" i="2"/>
  <c r="FA15" i="4"/>
  <c r="FA13" i="4"/>
  <c r="FA11" i="4"/>
  <c r="FA9" i="4"/>
  <c r="FA7" i="4"/>
  <c r="FA4" i="4"/>
  <c r="FA31" i="1"/>
  <c r="FA29" i="1"/>
  <c r="FA27" i="1"/>
  <c r="FA25" i="1"/>
  <c r="FA23" i="1"/>
  <c r="FA21" i="1"/>
  <c r="FA19" i="1"/>
  <c r="FA17" i="1"/>
  <c r="FA15" i="1"/>
  <c r="FA13" i="1"/>
  <c r="FA11" i="1"/>
  <c r="FA9" i="1"/>
  <c r="FA6" i="1"/>
  <c r="FA4" i="1"/>
  <c r="EZ6" i="1"/>
  <c r="EZ9" i="1"/>
  <c r="EY8" i="1"/>
  <c r="FL9" i="1"/>
  <c r="EZ31" i="1"/>
  <c r="EY30" i="1"/>
  <c r="FL31" i="1"/>
  <c r="EZ29" i="1"/>
  <c r="EY28" i="1"/>
  <c r="FL29" i="1" s="1"/>
  <c r="EZ27" i="1"/>
  <c r="EY26" i="1"/>
  <c r="EZ25" i="1"/>
  <c r="EY24" i="1"/>
  <c r="FL25" i="1"/>
  <c r="EZ23" i="1"/>
  <c r="EY22" i="1"/>
  <c r="FL23" i="1" s="1"/>
  <c r="EZ21" i="1"/>
  <c r="EY20" i="1"/>
  <c r="FL21" i="1" s="1"/>
  <c r="EZ19" i="1"/>
  <c r="EY18" i="1"/>
  <c r="FL19" i="1" s="1"/>
  <c r="EZ17" i="1"/>
  <c r="EY16" i="1"/>
  <c r="FL17" i="1" s="1"/>
  <c r="EZ15" i="1"/>
  <c r="EY14" i="1"/>
  <c r="EZ13" i="1"/>
  <c r="EY12" i="1"/>
  <c r="FL13" i="1"/>
  <c r="EZ11" i="1"/>
  <c r="EY10" i="1"/>
  <c r="FL11" i="1" s="1"/>
  <c r="EZ4" i="1"/>
  <c r="EZ4" i="4"/>
  <c r="EZ15" i="4"/>
  <c r="EY14" i="4"/>
  <c r="EZ13" i="4"/>
  <c r="EY12" i="4"/>
  <c r="FL13" i="4" s="1"/>
  <c r="EZ11" i="4"/>
  <c r="EY10" i="4"/>
  <c r="EZ9" i="4"/>
  <c r="EY8" i="4"/>
  <c r="EZ7" i="4"/>
  <c r="EY6" i="4"/>
  <c r="EY6" i="2"/>
  <c r="FL7" i="2" s="1"/>
  <c r="EY4" i="2"/>
  <c r="EZ27" i="2"/>
  <c r="EY26" i="2"/>
  <c r="EZ25" i="2"/>
  <c r="EY24" i="2"/>
  <c r="EZ23" i="2"/>
  <c r="EY22" i="2"/>
  <c r="EZ21" i="2"/>
  <c r="EY20" i="2"/>
  <c r="EZ19" i="2"/>
  <c r="EY18" i="2"/>
  <c r="EZ17" i="2"/>
  <c r="EY16" i="2"/>
  <c r="EZ15" i="2"/>
  <c r="EY14" i="2"/>
  <c r="EZ13" i="2"/>
  <c r="EY12" i="2"/>
  <c r="EZ11" i="2"/>
  <c r="EY10" i="2"/>
  <c r="EZ9" i="2"/>
  <c r="EY8" i="2"/>
  <c r="EZ7" i="2"/>
  <c r="EZ5" i="2"/>
  <c r="EZ7" i="3"/>
  <c r="EZ5" i="3"/>
  <c r="EY6" i="3"/>
  <c r="FL7" i="3"/>
  <c r="EY4" i="3"/>
  <c r="FL5" i="3" s="1"/>
  <c r="EX4" i="4"/>
  <c r="FK5" i="4" s="1"/>
  <c r="EX31" i="1"/>
  <c r="EX29" i="1"/>
  <c r="EX27" i="1"/>
  <c r="EX25" i="1"/>
  <c r="EX23" i="1"/>
  <c r="EX21" i="1"/>
  <c r="EX19" i="1"/>
  <c r="EX17" i="1"/>
  <c r="EX15" i="1"/>
  <c r="EX13" i="1"/>
  <c r="EX11" i="1"/>
  <c r="EX9" i="1"/>
  <c r="EX6" i="1"/>
  <c r="EX4" i="1"/>
  <c r="EX15" i="4"/>
  <c r="EX13" i="4"/>
  <c r="EX11" i="4"/>
  <c r="EX9" i="4"/>
  <c r="EX7" i="4"/>
  <c r="EX27" i="2"/>
  <c r="EX25" i="2"/>
  <c r="EX23" i="2"/>
  <c r="EX21" i="2"/>
  <c r="EX19" i="2"/>
  <c r="EX17" i="2"/>
  <c r="EX15" i="2"/>
  <c r="EX13" i="2"/>
  <c r="EX11" i="2"/>
  <c r="EX9" i="2"/>
  <c r="EX7" i="2"/>
  <c r="EX5" i="2"/>
  <c r="EX7" i="3"/>
  <c r="EX5" i="3"/>
  <c r="EW31" i="1"/>
  <c r="EW29" i="1"/>
  <c r="EW27" i="1"/>
  <c r="EW25" i="1"/>
  <c r="EW23" i="1"/>
  <c r="EW21" i="1"/>
  <c r="EW19" i="1"/>
  <c r="EW17" i="1"/>
  <c r="EW15" i="1"/>
  <c r="EW13" i="1"/>
  <c r="EW11" i="1"/>
  <c r="EW9" i="1"/>
  <c r="EW6" i="1"/>
  <c r="FJ7" i="1" s="1"/>
  <c r="EW4" i="1"/>
  <c r="EW15" i="4"/>
  <c r="EW13" i="4"/>
  <c r="EW11" i="4"/>
  <c r="EW9" i="4"/>
  <c r="EW7" i="4"/>
  <c r="EW4" i="4"/>
  <c r="EW7" i="3"/>
  <c r="EW5" i="3"/>
  <c r="EW27" i="2"/>
  <c r="EW25" i="2"/>
  <c r="EW23" i="2"/>
  <c r="EW21" i="2"/>
  <c r="EW19" i="2"/>
  <c r="EW17" i="2"/>
  <c r="EW15" i="2"/>
  <c r="EW13" i="2"/>
  <c r="EW11" i="2"/>
  <c r="EW9" i="2"/>
  <c r="EW7" i="2"/>
  <c r="EW5" i="2"/>
  <c r="EH23" i="1"/>
  <c r="EH27" i="1"/>
  <c r="EV7" i="3"/>
  <c r="EV5" i="3"/>
  <c r="EV27" i="2"/>
  <c r="EV25" i="2"/>
  <c r="EV23" i="2"/>
  <c r="EV21" i="2"/>
  <c r="EV19" i="2"/>
  <c r="EV17" i="2"/>
  <c r="EV15" i="2"/>
  <c r="EV13" i="2"/>
  <c r="EV11" i="2"/>
  <c r="EV9" i="2"/>
  <c r="EV7" i="2"/>
  <c r="EV5" i="2"/>
  <c r="EV15" i="4"/>
  <c r="EV13" i="4"/>
  <c r="EV11" i="4"/>
  <c r="EV9" i="4"/>
  <c r="EV7" i="4"/>
  <c r="EV4" i="4"/>
  <c r="EV31" i="1"/>
  <c r="EV29" i="1"/>
  <c r="EV27" i="1"/>
  <c r="EV25" i="1"/>
  <c r="EV23" i="1"/>
  <c r="EV21" i="1"/>
  <c r="EV19" i="1"/>
  <c r="EV17" i="1"/>
  <c r="EV15" i="1"/>
  <c r="EV13" i="1"/>
  <c r="EV11" i="1"/>
  <c r="EV9" i="1"/>
  <c r="EV6" i="1"/>
  <c r="EV4" i="1"/>
  <c r="EU7" i="3"/>
  <c r="EU5" i="3"/>
  <c r="EU27" i="2"/>
  <c r="EU25" i="2"/>
  <c r="EU23" i="2"/>
  <c r="EU21" i="2"/>
  <c r="EU19" i="2"/>
  <c r="EU17" i="2"/>
  <c r="EU15" i="2"/>
  <c r="EU13" i="2"/>
  <c r="EU11" i="2"/>
  <c r="EU9" i="2"/>
  <c r="EU7" i="2"/>
  <c r="EU5" i="2"/>
  <c r="EU15" i="4"/>
  <c r="EU13" i="4"/>
  <c r="EU11" i="4"/>
  <c r="EU9" i="4"/>
  <c r="EU7" i="4"/>
  <c r="EU4" i="4"/>
  <c r="EU31" i="1"/>
  <c r="EU29" i="1"/>
  <c r="EU27" i="1"/>
  <c r="EU25" i="1"/>
  <c r="EU23" i="1"/>
  <c r="EU21" i="1"/>
  <c r="EU19" i="1"/>
  <c r="EU17" i="1"/>
  <c r="EU15" i="1"/>
  <c r="EU13" i="1"/>
  <c r="EU11" i="1"/>
  <c r="EU9" i="1"/>
  <c r="EU6" i="1"/>
  <c r="EU4" i="1"/>
  <c r="ET7" i="3"/>
  <c r="ET5" i="3"/>
  <c r="ET27" i="2"/>
  <c r="ET25" i="2"/>
  <c r="ET23" i="2"/>
  <c r="ET21" i="2"/>
  <c r="ET19" i="2"/>
  <c r="ET17" i="2"/>
  <c r="ET15" i="2"/>
  <c r="ET13" i="2"/>
  <c r="ET11" i="2"/>
  <c r="ET9" i="2"/>
  <c r="ET7" i="2"/>
  <c r="ET5" i="2"/>
  <c r="ET15" i="4"/>
  <c r="ET13" i="4"/>
  <c r="ET11" i="4"/>
  <c r="ET9" i="4"/>
  <c r="ET7" i="4"/>
  <c r="ET4" i="4"/>
  <c r="ET31" i="1"/>
  <c r="ET29" i="1"/>
  <c r="ET27" i="1"/>
  <c r="ET25" i="1"/>
  <c r="ET23" i="1"/>
  <c r="ET21" i="1"/>
  <c r="ET19" i="1"/>
  <c r="ET17" i="1"/>
  <c r="ET15" i="1"/>
  <c r="ET13" i="1"/>
  <c r="ET11" i="1"/>
  <c r="ET9" i="1"/>
  <c r="ET6" i="1"/>
  <c r="ET4" i="1"/>
  <c r="ES7" i="3"/>
  <c r="ES5" i="3"/>
  <c r="ES27" i="2"/>
  <c r="ES25" i="2"/>
  <c r="ES23" i="2"/>
  <c r="ES21" i="2"/>
  <c r="ES19" i="2"/>
  <c r="ES17" i="2"/>
  <c r="ES15" i="2"/>
  <c r="ES13" i="2"/>
  <c r="ES11" i="2"/>
  <c r="ES9" i="2"/>
  <c r="ES7" i="2"/>
  <c r="ES5" i="2"/>
  <c r="ES15" i="4"/>
  <c r="ES13" i="4"/>
  <c r="ES11" i="4"/>
  <c r="ES9" i="4"/>
  <c r="ES7" i="4"/>
  <c r="ES4" i="4"/>
  <c r="ES31" i="1"/>
  <c r="ES29" i="1"/>
  <c r="ES27" i="1"/>
  <c r="ES25" i="1"/>
  <c r="ES23" i="1"/>
  <c r="ES21" i="1"/>
  <c r="ES19" i="1"/>
  <c r="ES17" i="1"/>
  <c r="ES15" i="1"/>
  <c r="ES13" i="1"/>
  <c r="ES11" i="1"/>
  <c r="ES9" i="1"/>
  <c r="ES6" i="1"/>
  <c r="ES4" i="1"/>
  <c r="FF5" i="1" s="1"/>
  <c r="ER31" i="1"/>
  <c r="ER29" i="1"/>
  <c r="ER27" i="1"/>
  <c r="ER25" i="1"/>
  <c r="ER23" i="1"/>
  <c r="ER21" i="1"/>
  <c r="ER19" i="1"/>
  <c r="ER17" i="1"/>
  <c r="ER15" i="1"/>
  <c r="ER13" i="1"/>
  <c r="ER11" i="1"/>
  <c r="ER9" i="1"/>
  <c r="ER6" i="1"/>
  <c r="ER4" i="1"/>
  <c r="ER15" i="4"/>
  <c r="ER13" i="4"/>
  <c r="ER11" i="4"/>
  <c r="ER9" i="4"/>
  <c r="ER7" i="4"/>
  <c r="ER4" i="4"/>
  <c r="ER27" i="2"/>
  <c r="ER25" i="2"/>
  <c r="ER23" i="2"/>
  <c r="ER21" i="2"/>
  <c r="ER19" i="2"/>
  <c r="ER17" i="2"/>
  <c r="ER15" i="2"/>
  <c r="ER13" i="2"/>
  <c r="ER11" i="2"/>
  <c r="ER9" i="2"/>
  <c r="ER7" i="2"/>
  <c r="ER5" i="2"/>
  <c r="ER7" i="3"/>
  <c r="ER5" i="3"/>
  <c r="EL4" i="3"/>
  <c r="EQ7" i="3"/>
  <c r="EQ5" i="2"/>
  <c r="EQ5" i="3"/>
  <c r="EQ7" i="2"/>
  <c r="EQ9" i="2"/>
  <c r="EQ11" i="2"/>
  <c r="EQ13" i="2"/>
  <c r="EQ15" i="2"/>
  <c r="EQ17" i="2"/>
  <c r="EQ19" i="2"/>
  <c r="EQ21" i="2"/>
  <c r="EQ23" i="2"/>
  <c r="EQ25" i="2"/>
  <c r="EQ27" i="2"/>
  <c r="EQ15" i="4"/>
  <c r="EQ13" i="4"/>
  <c r="EQ11" i="4"/>
  <c r="EQ9" i="4"/>
  <c r="EQ7" i="4"/>
  <c r="EQ4" i="4"/>
  <c r="EQ31" i="1"/>
  <c r="EQ29" i="1"/>
  <c r="EQ27" i="1"/>
  <c r="EQ25" i="1"/>
  <c r="EQ23" i="1"/>
  <c r="EQ21" i="1"/>
  <c r="EQ19" i="1"/>
  <c r="EQ17" i="1"/>
  <c r="EQ15" i="1"/>
  <c r="EQ13" i="1"/>
  <c r="EQ11" i="1"/>
  <c r="EQ9" i="1"/>
  <c r="EQ6" i="1"/>
  <c r="FD7" i="1"/>
  <c r="EQ4" i="1"/>
  <c r="FD5" i="1"/>
  <c r="EO7" i="3"/>
  <c r="EP7" i="3"/>
  <c r="EP5" i="3"/>
  <c r="EP4" i="4"/>
  <c r="FC5" i="4" s="1"/>
  <c r="EP6" i="1"/>
  <c r="EP27" i="2"/>
  <c r="EP25" i="2"/>
  <c r="EP23" i="2"/>
  <c r="EP21" i="2"/>
  <c r="EP19" i="2"/>
  <c r="EP17" i="2"/>
  <c r="EP15" i="2"/>
  <c r="EP13" i="2"/>
  <c r="EP11" i="2"/>
  <c r="EP9" i="2"/>
  <c r="EP7" i="2"/>
  <c r="EP5" i="2"/>
  <c r="EP15" i="4"/>
  <c r="EP13" i="4"/>
  <c r="EP11" i="4"/>
  <c r="EP9" i="4"/>
  <c r="EP7" i="4"/>
  <c r="EP31" i="1"/>
  <c r="EP29" i="1"/>
  <c r="EP27" i="1"/>
  <c r="EP25" i="1"/>
  <c r="EP23" i="1"/>
  <c r="EP21" i="1"/>
  <c r="EP19" i="1"/>
  <c r="EP17" i="1"/>
  <c r="EP15" i="1"/>
  <c r="EP13" i="1"/>
  <c r="EP11" i="1"/>
  <c r="EP9" i="1"/>
  <c r="EP4" i="1"/>
  <c r="FC5" i="1" s="1"/>
  <c r="EO5" i="3"/>
  <c r="EO5" i="2"/>
  <c r="EO7" i="2"/>
  <c r="EO9" i="2"/>
  <c r="EO11" i="2"/>
  <c r="EO13" i="2"/>
  <c r="EO15" i="2"/>
  <c r="EO17" i="2"/>
  <c r="EO19" i="2"/>
  <c r="EO21" i="2"/>
  <c r="EO23" i="2"/>
  <c r="EO25" i="2"/>
  <c r="EO27" i="2"/>
  <c r="EO4" i="4"/>
  <c r="EO7" i="4"/>
  <c r="EO9" i="4"/>
  <c r="EO11" i="4"/>
  <c r="EO13" i="4"/>
  <c r="EO15" i="4"/>
  <c r="EO4" i="1"/>
  <c r="EO6" i="1"/>
  <c r="FB7" i="1" s="1"/>
  <c r="EO9" i="1"/>
  <c r="EO11" i="1"/>
  <c r="EO13" i="1"/>
  <c r="EO15" i="1"/>
  <c r="EO17" i="1"/>
  <c r="EO19" i="1"/>
  <c r="EO21" i="1"/>
  <c r="EO23" i="1"/>
  <c r="EO25" i="1"/>
  <c r="EO27" i="1"/>
  <c r="EO29" i="1"/>
  <c r="EO31" i="1"/>
  <c r="EN5" i="3"/>
  <c r="EN7" i="3"/>
  <c r="EN5" i="2"/>
  <c r="EN7" i="2"/>
  <c r="EN9" i="2"/>
  <c r="EN11" i="2"/>
  <c r="EN13" i="2"/>
  <c r="EN15" i="2"/>
  <c r="EN17" i="2"/>
  <c r="EN19" i="2"/>
  <c r="EN21" i="2"/>
  <c r="EN23" i="2"/>
  <c r="EN25" i="2"/>
  <c r="EN27" i="2"/>
  <c r="EN4" i="4"/>
  <c r="FA5" i="4" s="1"/>
  <c r="EN7" i="4"/>
  <c r="EN9" i="4"/>
  <c r="EN11" i="4"/>
  <c r="EN13" i="4"/>
  <c r="EN15" i="4"/>
  <c r="EN4" i="1"/>
  <c r="EN6" i="1"/>
  <c r="EN9" i="1"/>
  <c r="EN11" i="1"/>
  <c r="EN13" i="1"/>
  <c r="EN15" i="1"/>
  <c r="EN17" i="1"/>
  <c r="EN19" i="1"/>
  <c r="EN21" i="1"/>
  <c r="EN23" i="1"/>
  <c r="EN25" i="1"/>
  <c r="EN27" i="1"/>
  <c r="EN29" i="1"/>
  <c r="EN31" i="1"/>
  <c r="EM7" i="3"/>
  <c r="EM5" i="3"/>
  <c r="EL6" i="3"/>
  <c r="EY7" i="3" s="1"/>
  <c r="EM27" i="2"/>
  <c r="EM25" i="2"/>
  <c r="EM23" i="2"/>
  <c r="EM21" i="2"/>
  <c r="EM19" i="2"/>
  <c r="EM17" i="2"/>
  <c r="EM15" i="2"/>
  <c r="EM13" i="2"/>
  <c r="EM11" i="2"/>
  <c r="EM9" i="2"/>
  <c r="EM7" i="2"/>
  <c r="EM5" i="2"/>
  <c r="EL26" i="2"/>
  <c r="EL24" i="2"/>
  <c r="EL22" i="2"/>
  <c r="EL20" i="2"/>
  <c r="EL18" i="2"/>
  <c r="EL16" i="2"/>
  <c r="EY17" i="2" s="1"/>
  <c r="EL14" i="2"/>
  <c r="EL12" i="2"/>
  <c r="EY13" i="2"/>
  <c r="EL10" i="2"/>
  <c r="EL8" i="2"/>
  <c r="EY9" i="2" s="1"/>
  <c r="EL6" i="2"/>
  <c r="EL4" i="2"/>
  <c r="EY5" i="2" s="1"/>
  <c r="EM15" i="4"/>
  <c r="EM13" i="4"/>
  <c r="EM11" i="4"/>
  <c r="EM9" i="4"/>
  <c r="EM7" i="4"/>
  <c r="EL14" i="4"/>
  <c r="EL12" i="4"/>
  <c r="EY13" i="4" s="1"/>
  <c r="EL10" i="4"/>
  <c r="EY11" i="4" s="1"/>
  <c r="EL8" i="4"/>
  <c r="EY9" i="4" s="1"/>
  <c r="EL6" i="4"/>
  <c r="EM31" i="1"/>
  <c r="EM29" i="1"/>
  <c r="EM27" i="1"/>
  <c r="EM25" i="1"/>
  <c r="EM23" i="1"/>
  <c r="EM21" i="1"/>
  <c r="EM19" i="1"/>
  <c r="EM17" i="1"/>
  <c r="EM15" i="1"/>
  <c r="EM13" i="1"/>
  <c r="EM11" i="1"/>
  <c r="EM9" i="1"/>
  <c r="EL30" i="1"/>
  <c r="EL28" i="1"/>
  <c r="EY29" i="1"/>
  <c r="EL26" i="1"/>
  <c r="EL24" i="1"/>
  <c r="EY25" i="1" s="1"/>
  <c r="EL22" i="1"/>
  <c r="EY23" i="1" s="1"/>
  <c r="EL20" i="1"/>
  <c r="EY21" i="1" s="1"/>
  <c r="EL18" i="1"/>
  <c r="EL16" i="1"/>
  <c r="EY17" i="1" s="1"/>
  <c r="EL14" i="1"/>
  <c r="EL12" i="1"/>
  <c r="EY13" i="1" s="1"/>
  <c r="EL10" i="1"/>
  <c r="EY11" i="1" s="1"/>
  <c r="EL8" i="1"/>
  <c r="EY9" i="1" s="1"/>
  <c r="EM4" i="4"/>
  <c r="EM4" i="1"/>
  <c r="EM6" i="1"/>
  <c r="EY6" i="1" s="1"/>
  <c r="EK5" i="3"/>
  <c r="EK7" i="3"/>
  <c r="EK5" i="2"/>
  <c r="EK7" i="2"/>
  <c r="EK9" i="2"/>
  <c r="EK11" i="2"/>
  <c r="EK13" i="2"/>
  <c r="EK15" i="2"/>
  <c r="EK17" i="2"/>
  <c r="EK19" i="2"/>
  <c r="EK21" i="2"/>
  <c r="EK23" i="2"/>
  <c r="EK25" i="2"/>
  <c r="EK27" i="2"/>
  <c r="EK4" i="4"/>
  <c r="EX5" i="4" s="1"/>
  <c r="EK7" i="4"/>
  <c r="EK9" i="4"/>
  <c r="EK11" i="4"/>
  <c r="EK13" i="4"/>
  <c r="EK15" i="4"/>
  <c r="EK4" i="1"/>
  <c r="EK6" i="1"/>
  <c r="EX7" i="1" s="1"/>
  <c r="EK9" i="1"/>
  <c r="EK11" i="1"/>
  <c r="EK13" i="1"/>
  <c r="EK15" i="1"/>
  <c r="EK17" i="1"/>
  <c r="EK19" i="1"/>
  <c r="EK21" i="1"/>
  <c r="EK23" i="1"/>
  <c r="EK25" i="1"/>
  <c r="EK27" i="1"/>
  <c r="EK29" i="1"/>
  <c r="EK31" i="1"/>
  <c r="EJ5" i="3"/>
  <c r="EJ7" i="3"/>
  <c r="EJ5" i="2"/>
  <c r="EJ7" i="2"/>
  <c r="EJ9" i="2"/>
  <c r="EJ11" i="2"/>
  <c r="EJ13" i="2"/>
  <c r="EJ15" i="2"/>
  <c r="EJ17" i="2"/>
  <c r="EJ19" i="2"/>
  <c r="EJ21" i="2"/>
  <c r="EJ23" i="2"/>
  <c r="EJ25" i="2"/>
  <c r="EJ27" i="2"/>
  <c r="EJ4" i="4"/>
  <c r="EW5" i="4" s="1"/>
  <c r="EJ7" i="4"/>
  <c r="EJ9" i="4"/>
  <c r="EJ11" i="4"/>
  <c r="EJ13" i="4"/>
  <c r="EJ15" i="4"/>
  <c r="EJ4" i="1"/>
  <c r="EJ6" i="1"/>
  <c r="EJ9" i="1"/>
  <c r="EJ11" i="1"/>
  <c r="EJ13" i="1"/>
  <c r="EJ15" i="1"/>
  <c r="EJ17" i="1"/>
  <c r="EJ19" i="1"/>
  <c r="EJ21" i="1"/>
  <c r="EJ23" i="1"/>
  <c r="EJ25" i="1"/>
  <c r="EJ27" i="1"/>
  <c r="EJ29" i="1"/>
  <c r="EJ31" i="1"/>
  <c r="EI5" i="3"/>
  <c r="EI7" i="3"/>
  <c r="EI5" i="2"/>
  <c r="EI7" i="2"/>
  <c r="EI9" i="2"/>
  <c r="EI11" i="2"/>
  <c r="EI13" i="2"/>
  <c r="EI15" i="2"/>
  <c r="EI17" i="2"/>
  <c r="EI19" i="2"/>
  <c r="EI21" i="2"/>
  <c r="EI23" i="2"/>
  <c r="EI25" i="2"/>
  <c r="EI27" i="2"/>
  <c r="EI4" i="4"/>
  <c r="EI7" i="4"/>
  <c r="EI9" i="4"/>
  <c r="EI11" i="4"/>
  <c r="EI13" i="4"/>
  <c r="EI15" i="4"/>
  <c r="EI4" i="1"/>
  <c r="EV5" i="1" s="1"/>
  <c r="EI6" i="1"/>
  <c r="EI9" i="1"/>
  <c r="EI11" i="1"/>
  <c r="EI13" i="1"/>
  <c r="EI15" i="1"/>
  <c r="EI17" i="1"/>
  <c r="EI19" i="1"/>
  <c r="EI21" i="1"/>
  <c r="EI23" i="1"/>
  <c r="EI25" i="1"/>
  <c r="EI27" i="1"/>
  <c r="EI29" i="1"/>
  <c r="EI31" i="1"/>
  <c r="EH5" i="3"/>
  <c r="EH7" i="3"/>
  <c r="EH5" i="2"/>
  <c r="EH7" i="2"/>
  <c r="EH9" i="2"/>
  <c r="EH11" i="2"/>
  <c r="EH13" i="2"/>
  <c r="EH15" i="2"/>
  <c r="EH17" i="2"/>
  <c r="EH19" i="2"/>
  <c r="EH21" i="2"/>
  <c r="EH23" i="2"/>
  <c r="EH25" i="2"/>
  <c r="EH27" i="2"/>
  <c r="EH4" i="4"/>
  <c r="EH7" i="4"/>
  <c r="EH9" i="4"/>
  <c r="EH11" i="4"/>
  <c r="EH13" i="4"/>
  <c r="EH15" i="4"/>
  <c r="EH4" i="1"/>
  <c r="EH6" i="1"/>
  <c r="EH9" i="1"/>
  <c r="EH11" i="1"/>
  <c r="EH13" i="1"/>
  <c r="EH15" i="1"/>
  <c r="EH17" i="1"/>
  <c r="EH19" i="1"/>
  <c r="EH21" i="1"/>
  <c r="EH25" i="1"/>
  <c r="EH29" i="1"/>
  <c r="EH31" i="1"/>
  <c r="EG5" i="3"/>
  <c r="EG7" i="3"/>
  <c r="EG5" i="2"/>
  <c r="EG7" i="2"/>
  <c r="EG9" i="2"/>
  <c r="EG11" i="2"/>
  <c r="EG13" i="2"/>
  <c r="EG15" i="2"/>
  <c r="EG17" i="2"/>
  <c r="EG19" i="2"/>
  <c r="EG21" i="2"/>
  <c r="EG23" i="2"/>
  <c r="EG25" i="2"/>
  <c r="EG27" i="2"/>
  <c r="EG4" i="4"/>
  <c r="ET5" i="4" s="1"/>
  <c r="EG7" i="4"/>
  <c r="EG9" i="4"/>
  <c r="EG11" i="4"/>
  <c r="EG13" i="4"/>
  <c r="EG15" i="4"/>
  <c r="EG4" i="1"/>
  <c r="EG6" i="1"/>
  <c r="EG9" i="1"/>
  <c r="EG11" i="1"/>
  <c r="EG13" i="1"/>
  <c r="EG15" i="1"/>
  <c r="EG17" i="1"/>
  <c r="EG19" i="1"/>
  <c r="EG21" i="1"/>
  <c r="EG23" i="1"/>
  <c r="EG25" i="1"/>
  <c r="EG27" i="1"/>
  <c r="EG29" i="1"/>
  <c r="EG31" i="1"/>
  <c r="EF5" i="3"/>
  <c r="EF7" i="3"/>
  <c r="EF5" i="2"/>
  <c r="EF7" i="2"/>
  <c r="EF9" i="2"/>
  <c r="EF11" i="2"/>
  <c r="EF13" i="2"/>
  <c r="EF15" i="2"/>
  <c r="EF17" i="2"/>
  <c r="EF19" i="2"/>
  <c r="EF21" i="2"/>
  <c r="EF23" i="2"/>
  <c r="EF25" i="2"/>
  <c r="EF27" i="2"/>
  <c r="EF4" i="4"/>
  <c r="EF7" i="4"/>
  <c r="EF9" i="4"/>
  <c r="EF11" i="4"/>
  <c r="EF13" i="4"/>
  <c r="EF15" i="4"/>
  <c r="EF4" i="1"/>
  <c r="EF6" i="1"/>
  <c r="EF9" i="1"/>
  <c r="EF11" i="1"/>
  <c r="EF13" i="1"/>
  <c r="EF15" i="1"/>
  <c r="EF17" i="1"/>
  <c r="EF19" i="1"/>
  <c r="EF21" i="1"/>
  <c r="EF23" i="1"/>
  <c r="EF25" i="1"/>
  <c r="EF27" i="1"/>
  <c r="EF29" i="1"/>
  <c r="EF31" i="1"/>
  <c r="EE5" i="3"/>
  <c r="EE7" i="3"/>
  <c r="EE5" i="2"/>
  <c r="EE7" i="2"/>
  <c r="EE9" i="2"/>
  <c r="EE11" i="2"/>
  <c r="EE13" i="2"/>
  <c r="EE15" i="2"/>
  <c r="EE17" i="2"/>
  <c r="EE19" i="2"/>
  <c r="EE21" i="2"/>
  <c r="EE23" i="2"/>
  <c r="EE25" i="2"/>
  <c r="EE27" i="2"/>
  <c r="EE4" i="4"/>
  <c r="EE5" i="4" s="1"/>
  <c r="EE7" i="4"/>
  <c r="EE9" i="4"/>
  <c r="EE11" i="4"/>
  <c r="EE13" i="4"/>
  <c r="EE15" i="4"/>
  <c r="EE4" i="1"/>
  <c r="EE6" i="1"/>
  <c r="EE9" i="1"/>
  <c r="EE11" i="1"/>
  <c r="EE13" i="1"/>
  <c r="EE15" i="1"/>
  <c r="EE17" i="1"/>
  <c r="EE19" i="1"/>
  <c r="EE21" i="1"/>
  <c r="EE23" i="1"/>
  <c r="EE25" i="1"/>
  <c r="EE27" i="1"/>
  <c r="EE29" i="1"/>
  <c r="EE31" i="1"/>
  <c r="ED5" i="3"/>
  <c r="ED7" i="3"/>
  <c r="ED5" i="2"/>
  <c r="ED7" i="2"/>
  <c r="ED9" i="2"/>
  <c r="ED11" i="2"/>
  <c r="ED13" i="2"/>
  <c r="ED15" i="2"/>
  <c r="ED17" i="2"/>
  <c r="ED19" i="2"/>
  <c r="ED21" i="2"/>
  <c r="ED23" i="2"/>
  <c r="ED25" i="2"/>
  <c r="ED27" i="2"/>
  <c r="ED4" i="4"/>
  <c r="ED7" i="4"/>
  <c r="ED9" i="4"/>
  <c r="ED11" i="4"/>
  <c r="ED13" i="4"/>
  <c r="ED15" i="4"/>
  <c r="ED4" i="1"/>
  <c r="EQ5" i="1" s="1"/>
  <c r="ED6" i="1"/>
  <c r="ED9" i="1"/>
  <c r="ED11" i="1"/>
  <c r="ED13" i="1"/>
  <c r="ED15" i="1"/>
  <c r="ED17" i="1"/>
  <c r="ED19" i="1"/>
  <c r="ED21" i="1"/>
  <c r="ED23" i="1"/>
  <c r="ED25" i="1"/>
  <c r="ED27" i="1"/>
  <c r="ED29" i="1"/>
  <c r="ED31" i="1"/>
  <c r="EC5" i="3"/>
  <c r="EC7" i="3"/>
  <c r="EC5" i="2"/>
  <c r="EC7" i="2"/>
  <c r="EC9" i="2"/>
  <c r="EC11" i="2"/>
  <c r="EC13" i="2"/>
  <c r="EC15" i="2"/>
  <c r="EC17" i="2"/>
  <c r="EC19" i="2"/>
  <c r="EC21" i="2"/>
  <c r="EC23" i="2"/>
  <c r="EC25" i="2"/>
  <c r="EC27" i="2"/>
  <c r="EC4" i="4"/>
  <c r="EC7" i="4"/>
  <c r="EC9" i="4"/>
  <c r="EC11" i="4"/>
  <c r="EC13" i="4"/>
  <c r="EC15" i="4"/>
  <c r="EC4" i="1"/>
  <c r="EP5" i="1" s="1"/>
  <c r="EC6" i="1"/>
  <c r="EP7" i="1" s="1"/>
  <c r="EC9" i="1"/>
  <c r="EC11" i="1"/>
  <c r="EC13" i="1"/>
  <c r="EC15" i="1"/>
  <c r="EC17" i="1"/>
  <c r="EC19" i="1"/>
  <c r="EC21" i="1"/>
  <c r="EC23" i="1"/>
  <c r="EC25" i="1"/>
  <c r="EC27" i="1"/>
  <c r="EC29" i="1"/>
  <c r="EC31" i="1"/>
  <c r="EB5" i="3"/>
  <c r="EB7" i="3"/>
  <c r="EB5" i="2"/>
  <c r="EB7" i="2"/>
  <c r="EB9" i="2"/>
  <c r="EB11" i="2"/>
  <c r="EB13" i="2"/>
  <c r="EB15" i="2"/>
  <c r="EB17" i="2"/>
  <c r="EB19" i="2"/>
  <c r="EB21" i="2"/>
  <c r="EB23" i="2"/>
  <c r="EB25" i="2"/>
  <c r="EB27" i="2"/>
  <c r="EB4" i="4"/>
  <c r="EB7" i="4"/>
  <c r="EB9" i="4"/>
  <c r="EB11" i="4"/>
  <c r="EB13" i="4"/>
  <c r="EB15" i="4"/>
  <c r="EB4" i="1"/>
  <c r="EB6" i="1"/>
  <c r="EO7" i="1" s="1"/>
  <c r="EB9" i="1"/>
  <c r="EB11" i="1"/>
  <c r="EB13" i="1"/>
  <c r="EB15" i="1"/>
  <c r="EB17" i="1"/>
  <c r="EB19" i="1"/>
  <c r="EB21" i="1"/>
  <c r="EB23" i="1"/>
  <c r="EB25" i="1"/>
  <c r="EB27" i="1"/>
  <c r="EB29" i="1"/>
  <c r="EB31" i="1"/>
  <c r="EA5" i="3"/>
  <c r="EA7" i="3"/>
  <c r="EA5" i="2"/>
  <c r="EA7" i="2"/>
  <c r="EA9" i="2"/>
  <c r="EA11" i="2"/>
  <c r="EA13" i="2"/>
  <c r="EA15" i="2"/>
  <c r="EA17" i="2"/>
  <c r="EA19" i="2"/>
  <c r="EA21" i="2"/>
  <c r="EA23" i="2"/>
  <c r="EA25" i="2"/>
  <c r="EA27" i="2"/>
  <c r="EA4" i="4"/>
  <c r="EN5" i="4" s="1"/>
  <c r="EA7" i="4"/>
  <c r="EA9" i="4"/>
  <c r="EA11" i="4"/>
  <c r="EA13" i="4"/>
  <c r="EA15" i="4"/>
  <c r="EA4" i="1"/>
  <c r="EA6" i="1"/>
  <c r="EA9" i="1"/>
  <c r="EA11" i="1"/>
  <c r="EA13" i="1"/>
  <c r="EA15" i="1"/>
  <c r="EA17" i="1"/>
  <c r="EA19" i="1"/>
  <c r="EA21" i="1"/>
  <c r="EA23" i="1"/>
  <c r="EA25" i="1"/>
  <c r="EA27" i="1"/>
  <c r="EA29" i="1"/>
  <c r="EA31" i="1"/>
  <c r="DZ7" i="3"/>
  <c r="DZ5" i="3"/>
  <c r="DZ27" i="2"/>
  <c r="DZ25" i="2"/>
  <c r="DZ23" i="2"/>
  <c r="DZ21" i="2"/>
  <c r="DZ19" i="2"/>
  <c r="DZ17" i="2"/>
  <c r="DZ15" i="2"/>
  <c r="DZ13" i="2"/>
  <c r="DZ11" i="2"/>
  <c r="DZ9" i="2"/>
  <c r="DZ7" i="2"/>
  <c r="DZ5" i="2"/>
  <c r="DZ15" i="4"/>
  <c r="DZ13" i="4"/>
  <c r="DZ11" i="4"/>
  <c r="DZ9" i="4"/>
  <c r="DZ7" i="4"/>
  <c r="DZ4" i="4"/>
  <c r="DZ31" i="1"/>
  <c r="DZ29" i="1"/>
  <c r="DZ27" i="1"/>
  <c r="DZ25" i="1"/>
  <c r="DZ23" i="1"/>
  <c r="DZ21" i="1"/>
  <c r="DZ19" i="1"/>
  <c r="DZ17" i="1"/>
  <c r="DZ15" i="1"/>
  <c r="DZ13" i="1"/>
  <c r="DZ11" i="1"/>
  <c r="DZ9" i="1"/>
  <c r="DZ6" i="1"/>
  <c r="DZ4" i="1"/>
  <c r="DY30" i="1"/>
  <c r="DY28" i="1"/>
  <c r="EL29" i="1"/>
  <c r="DY26" i="1"/>
  <c r="DY24" i="1"/>
  <c r="EL25" i="1" s="1"/>
  <c r="DY22" i="1"/>
  <c r="DY20" i="1"/>
  <c r="DY18" i="1"/>
  <c r="DY16" i="1"/>
  <c r="DY14" i="1"/>
  <c r="DY12" i="1"/>
  <c r="DY10" i="1"/>
  <c r="DY8" i="1"/>
  <c r="DY6" i="3"/>
  <c r="EL7" i="3" s="1"/>
  <c r="DY4" i="3"/>
  <c r="DY14" i="4"/>
  <c r="EL15" i="4" s="1"/>
  <c r="DY12" i="4"/>
  <c r="DY10" i="4"/>
  <c r="DY8" i="4"/>
  <c r="EL9" i="4" s="1"/>
  <c r="DY6" i="4"/>
  <c r="EL7" i="4" s="1"/>
  <c r="DY26" i="2"/>
  <c r="DY24" i="2"/>
  <c r="DY22" i="2"/>
  <c r="EL23" i="2" s="1"/>
  <c r="DY20" i="2"/>
  <c r="DY18" i="2"/>
  <c r="EL19" i="2"/>
  <c r="DY16" i="2"/>
  <c r="DY14" i="2"/>
  <c r="DY12" i="2"/>
  <c r="DY10" i="2"/>
  <c r="DY8" i="2"/>
  <c r="DY6" i="2"/>
  <c r="DY4" i="2"/>
  <c r="DX5" i="3"/>
  <c r="DX7" i="3"/>
  <c r="DX5" i="2"/>
  <c r="DX7" i="2"/>
  <c r="DX9" i="2"/>
  <c r="DX11" i="2"/>
  <c r="DX13" i="2"/>
  <c r="DX15" i="2"/>
  <c r="DX17" i="2"/>
  <c r="DX19" i="2"/>
  <c r="DX21" i="2"/>
  <c r="DX23" i="2"/>
  <c r="DX25" i="2"/>
  <c r="DX27" i="2"/>
  <c r="DX4" i="4"/>
  <c r="DX5" i="4" s="1"/>
  <c r="DX7" i="4"/>
  <c r="DX9" i="4"/>
  <c r="DX11" i="4"/>
  <c r="DX13" i="4"/>
  <c r="DX15" i="4"/>
  <c r="DX4" i="1"/>
  <c r="DX6" i="1"/>
  <c r="DX9" i="1"/>
  <c r="DX11" i="1"/>
  <c r="DX13" i="1"/>
  <c r="DX15" i="1"/>
  <c r="DX17" i="1"/>
  <c r="DX19" i="1"/>
  <c r="DX21" i="1"/>
  <c r="DX23" i="1"/>
  <c r="DX25" i="1"/>
  <c r="DX27" i="1"/>
  <c r="DX29" i="1"/>
  <c r="DX31" i="1"/>
  <c r="DW5" i="3"/>
  <c r="DW7" i="3"/>
  <c r="DW5" i="2"/>
  <c r="DW7" i="2"/>
  <c r="DW9" i="2"/>
  <c r="DW11" i="2"/>
  <c r="DW13" i="2"/>
  <c r="DW15" i="2"/>
  <c r="DW17" i="2"/>
  <c r="DW19" i="2"/>
  <c r="DW21" i="2"/>
  <c r="DW23" i="2"/>
  <c r="DW25" i="2"/>
  <c r="DW27" i="2"/>
  <c r="DW4" i="4"/>
  <c r="DW7" i="4"/>
  <c r="DW9" i="4"/>
  <c r="DW11" i="4"/>
  <c r="DW13" i="4"/>
  <c r="DW15" i="4"/>
  <c r="DW4" i="1"/>
  <c r="EJ5" i="1"/>
  <c r="DW6" i="1"/>
  <c r="DW9" i="1"/>
  <c r="DW11" i="1"/>
  <c r="DW13" i="1"/>
  <c r="DW15" i="1"/>
  <c r="DW17" i="1"/>
  <c r="DW19" i="1"/>
  <c r="DW21" i="1"/>
  <c r="DW23" i="1"/>
  <c r="DW25" i="1"/>
  <c r="DW27" i="1"/>
  <c r="DW29" i="1"/>
  <c r="DW31" i="1"/>
  <c r="DV5" i="3"/>
  <c r="DV7" i="3"/>
  <c r="DV5" i="2"/>
  <c r="DV7" i="2"/>
  <c r="DV9" i="2"/>
  <c r="DV11" i="2"/>
  <c r="DV13" i="2"/>
  <c r="DV15" i="2"/>
  <c r="DV17" i="2"/>
  <c r="DV19" i="2"/>
  <c r="DV21" i="2"/>
  <c r="DV23" i="2"/>
  <c r="DV25" i="2"/>
  <c r="DV27" i="2"/>
  <c r="DV4" i="4"/>
  <c r="DV5" i="4" s="1"/>
  <c r="DV7" i="4"/>
  <c r="DV9" i="4"/>
  <c r="DV11" i="4"/>
  <c r="DV13" i="4"/>
  <c r="DV15" i="4"/>
  <c r="DV4" i="1"/>
  <c r="DV6" i="1"/>
  <c r="DV9" i="1"/>
  <c r="DV11" i="1"/>
  <c r="DV13" i="1"/>
  <c r="DV15" i="1"/>
  <c r="DV17" i="1"/>
  <c r="DV19" i="1"/>
  <c r="DV21" i="1"/>
  <c r="DV23" i="1"/>
  <c r="DV25" i="1"/>
  <c r="DV27" i="1"/>
  <c r="DV29" i="1"/>
  <c r="DV31" i="1"/>
  <c r="DU5" i="3"/>
  <c r="DU7" i="3"/>
  <c r="DU5" i="2"/>
  <c r="DU7" i="2"/>
  <c r="DU9" i="2"/>
  <c r="DU11" i="2"/>
  <c r="DU13" i="2"/>
  <c r="DU15" i="2"/>
  <c r="DU17" i="2"/>
  <c r="DU19" i="2"/>
  <c r="DU21" i="2"/>
  <c r="DU23" i="2"/>
  <c r="DU25" i="2"/>
  <c r="DU27" i="2"/>
  <c r="DU4" i="4"/>
  <c r="DU7" i="4"/>
  <c r="DU9" i="4"/>
  <c r="DU11" i="4"/>
  <c r="DU13" i="4"/>
  <c r="DU15" i="4"/>
  <c r="DU4" i="1"/>
  <c r="DU6" i="1"/>
  <c r="EH7" i="1"/>
  <c r="DU9" i="1"/>
  <c r="DU11" i="1"/>
  <c r="DU13" i="1"/>
  <c r="DU15" i="1"/>
  <c r="DU17" i="1"/>
  <c r="DU19" i="1"/>
  <c r="DU21" i="1"/>
  <c r="DU23" i="1"/>
  <c r="DU25" i="1"/>
  <c r="DU27" i="1"/>
  <c r="DU29" i="1"/>
  <c r="DU31" i="1"/>
  <c r="DT5" i="3"/>
  <c r="DT7" i="3"/>
  <c r="DT5" i="2"/>
  <c r="DT7" i="2"/>
  <c r="DT9" i="2"/>
  <c r="DT11" i="2"/>
  <c r="DT13" i="2"/>
  <c r="DT15" i="2"/>
  <c r="DT17" i="2"/>
  <c r="DT19" i="2"/>
  <c r="DT21" i="2"/>
  <c r="DT23" i="2"/>
  <c r="DT25" i="2"/>
  <c r="DT27" i="2"/>
  <c r="DT4" i="4"/>
  <c r="DT7" i="4"/>
  <c r="DT9" i="4"/>
  <c r="DT11" i="4"/>
  <c r="DT13" i="4"/>
  <c r="DT15" i="4"/>
  <c r="DT4" i="1"/>
  <c r="DT6" i="1"/>
  <c r="DT7" i="1" s="1"/>
  <c r="DT9" i="1"/>
  <c r="DT11" i="1"/>
  <c r="DT13" i="1"/>
  <c r="DT15" i="1"/>
  <c r="DT17" i="1"/>
  <c r="DT19" i="1"/>
  <c r="DT21" i="1"/>
  <c r="DT23" i="1"/>
  <c r="DT25" i="1"/>
  <c r="DT27" i="1"/>
  <c r="DT29" i="1"/>
  <c r="DT31" i="1"/>
  <c r="DS7" i="3"/>
  <c r="DS5" i="3"/>
  <c r="DS27" i="2"/>
  <c r="DS25" i="2"/>
  <c r="DS23" i="2"/>
  <c r="DS21" i="2"/>
  <c r="DS19" i="2"/>
  <c r="DS17" i="2"/>
  <c r="DS15" i="2"/>
  <c r="DS13" i="2"/>
  <c r="DS11" i="2"/>
  <c r="DS9" i="2"/>
  <c r="DS7" i="2"/>
  <c r="DS5" i="2"/>
  <c r="DS15" i="4"/>
  <c r="DS13" i="4"/>
  <c r="DS11" i="4"/>
  <c r="DS9" i="4"/>
  <c r="DS7" i="4"/>
  <c r="DS4" i="4"/>
  <c r="EF5" i="4" s="1"/>
  <c r="DS31" i="1"/>
  <c r="DS29" i="1"/>
  <c r="DS27" i="1"/>
  <c r="DS25" i="1"/>
  <c r="DS23" i="1"/>
  <c r="DS21" i="1"/>
  <c r="DS19" i="1"/>
  <c r="DS17" i="1"/>
  <c r="DS15" i="1"/>
  <c r="DS13" i="1"/>
  <c r="DS11" i="1"/>
  <c r="DS9" i="1"/>
  <c r="DS6" i="1"/>
  <c r="DS4" i="1"/>
  <c r="EF5" i="1" s="1"/>
  <c r="DR7" i="3"/>
  <c r="DR5" i="3"/>
  <c r="DR27" i="2"/>
  <c r="DR25" i="2"/>
  <c r="DR23" i="2"/>
  <c r="DR21" i="2"/>
  <c r="DR19" i="2"/>
  <c r="DR17" i="2"/>
  <c r="DR15" i="2"/>
  <c r="DR13" i="2"/>
  <c r="DR11" i="2"/>
  <c r="DR9" i="2"/>
  <c r="DR7" i="2"/>
  <c r="DR5" i="2"/>
  <c r="DR15" i="4"/>
  <c r="DR13" i="4"/>
  <c r="DR11" i="4"/>
  <c r="DR9" i="4"/>
  <c r="DR7" i="4"/>
  <c r="DR4" i="4"/>
  <c r="DR31" i="1"/>
  <c r="DR29" i="1"/>
  <c r="DR27" i="1"/>
  <c r="DR25" i="1"/>
  <c r="DR23" i="1"/>
  <c r="DR21" i="1"/>
  <c r="DR19" i="1"/>
  <c r="DR17" i="1"/>
  <c r="DR15" i="1"/>
  <c r="DR13" i="1"/>
  <c r="DR11" i="1"/>
  <c r="DR9" i="1"/>
  <c r="DR6" i="1"/>
  <c r="DR7" i="1" s="1"/>
  <c r="DR4" i="1"/>
  <c r="DQ7" i="3"/>
  <c r="DQ5" i="3"/>
  <c r="DQ27" i="2"/>
  <c r="DQ25" i="2"/>
  <c r="DQ23" i="2"/>
  <c r="DQ21" i="2"/>
  <c r="DQ19" i="2"/>
  <c r="DQ17" i="2"/>
  <c r="DQ15" i="2"/>
  <c r="DQ13" i="2"/>
  <c r="DQ11" i="2"/>
  <c r="DQ9" i="2"/>
  <c r="DQ7" i="2"/>
  <c r="DQ5" i="2"/>
  <c r="DQ15" i="4"/>
  <c r="DQ13" i="4"/>
  <c r="DQ11" i="4"/>
  <c r="DQ9" i="4"/>
  <c r="DQ7" i="4"/>
  <c r="DQ4" i="4"/>
  <c r="ED5" i="4" s="1"/>
  <c r="DQ31" i="1"/>
  <c r="DQ29" i="1"/>
  <c r="DQ27" i="1"/>
  <c r="DQ25" i="1"/>
  <c r="DQ23" i="1"/>
  <c r="DQ21" i="1"/>
  <c r="DQ19" i="1"/>
  <c r="DQ17" i="1"/>
  <c r="DQ15" i="1"/>
  <c r="DQ13" i="1"/>
  <c r="DQ11" i="1"/>
  <c r="DQ9" i="1"/>
  <c r="DQ6" i="1"/>
  <c r="DQ4" i="1"/>
  <c r="DP7" i="3"/>
  <c r="DP5" i="3"/>
  <c r="DP27" i="2"/>
  <c r="DP25" i="2"/>
  <c r="DP23" i="2"/>
  <c r="DP21" i="2"/>
  <c r="DP19" i="2"/>
  <c r="DP17" i="2"/>
  <c r="DP15" i="2"/>
  <c r="DP13" i="2"/>
  <c r="DP11" i="2"/>
  <c r="DP9" i="2"/>
  <c r="DP7" i="2"/>
  <c r="DP5" i="2"/>
  <c r="DP4" i="4"/>
  <c r="DP15" i="4"/>
  <c r="DP13" i="4"/>
  <c r="DP11" i="4"/>
  <c r="DP9" i="4"/>
  <c r="DP7" i="4"/>
  <c r="DP6" i="1"/>
  <c r="DP31" i="1"/>
  <c r="DP29" i="1"/>
  <c r="DP27" i="1"/>
  <c r="DP25" i="1"/>
  <c r="DP23" i="1"/>
  <c r="DP21" i="1"/>
  <c r="DP19" i="1"/>
  <c r="DP17" i="1"/>
  <c r="DP15" i="1"/>
  <c r="DP13" i="1"/>
  <c r="DP11" i="1"/>
  <c r="DP9" i="1"/>
  <c r="DP4" i="1"/>
  <c r="DO7" i="3"/>
  <c r="DO5" i="3"/>
  <c r="DO27" i="2"/>
  <c r="DO25" i="2"/>
  <c r="DO23" i="2"/>
  <c r="DO21" i="2"/>
  <c r="DO19" i="2"/>
  <c r="DO17" i="2"/>
  <c r="DO15" i="2"/>
  <c r="DO13" i="2"/>
  <c r="DO11" i="2"/>
  <c r="DO9" i="2"/>
  <c r="DO7" i="2"/>
  <c r="DO5" i="2"/>
  <c r="DO15" i="4"/>
  <c r="DO13" i="4"/>
  <c r="DO11" i="4"/>
  <c r="DO9" i="4"/>
  <c r="DO7" i="4"/>
  <c r="DO4" i="4"/>
  <c r="EB5" i="4" s="1"/>
  <c r="DO31" i="1"/>
  <c r="DO29" i="1"/>
  <c r="DO27" i="1"/>
  <c r="DO25" i="1"/>
  <c r="DO23" i="1"/>
  <c r="DO21" i="1"/>
  <c r="DO19" i="1"/>
  <c r="DO17" i="1"/>
  <c r="DO15" i="1"/>
  <c r="DO13" i="1"/>
  <c r="DO11" i="1"/>
  <c r="DO9" i="1"/>
  <c r="DO6" i="1"/>
  <c r="EB7" i="1" s="1"/>
  <c r="DO4" i="1"/>
  <c r="DM4" i="4"/>
  <c r="DN7" i="3"/>
  <c r="DN5" i="3"/>
  <c r="DN27" i="2"/>
  <c r="DN25" i="2"/>
  <c r="DN23" i="2"/>
  <c r="DN21" i="2"/>
  <c r="DN19" i="2"/>
  <c r="DN17" i="2"/>
  <c r="DN15" i="2"/>
  <c r="DN13" i="2"/>
  <c r="DN11" i="2"/>
  <c r="DN9" i="2"/>
  <c r="DN7" i="2"/>
  <c r="DN5" i="2"/>
  <c r="DM27" i="2"/>
  <c r="DM25" i="2"/>
  <c r="DM23" i="2"/>
  <c r="DM21" i="2"/>
  <c r="DM19" i="2"/>
  <c r="DM17" i="2"/>
  <c r="DM15" i="2"/>
  <c r="DM13" i="2"/>
  <c r="DM11" i="2"/>
  <c r="DM9" i="2"/>
  <c r="DM7" i="2"/>
  <c r="DM5" i="2"/>
  <c r="DN15" i="4"/>
  <c r="DN13" i="4"/>
  <c r="DN11" i="4"/>
  <c r="DN9" i="4"/>
  <c r="DN7" i="4"/>
  <c r="DN4" i="4"/>
  <c r="DN6" i="1"/>
  <c r="EA7" i="1" s="1"/>
  <c r="DN31" i="1"/>
  <c r="DN29" i="1"/>
  <c r="DN27" i="1"/>
  <c r="DN25" i="1"/>
  <c r="DN23" i="1"/>
  <c r="DN21" i="1"/>
  <c r="DN19" i="1"/>
  <c r="DN17" i="1"/>
  <c r="DN15" i="1"/>
  <c r="DN13" i="1"/>
  <c r="DN11" i="1"/>
  <c r="DN9" i="1"/>
  <c r="DN4" i="1"/>
  <c r="EA5" i="1"/>
  <c r="DM7" i="3"/>
  <c r="DM5" i="3"/>
  <c r="DL6" i="3"/>
  <c r="DY7" i="3"/>
  <c r="DL4" i="3"/>
  <c r="DL26" i="2"/>
  <c r="DY27" i="2" s="1"/>
  <c r="DL24" i="2"/>
  <c r="DL22" i="2"/>
  <c r="DL20" i="2"/>
  <c r="DL18" i="2"/>
  <c r="DL16" i="2"/>
  <c r="DL14" i="2"/>
  <c r="DL12" i="2"/>
  <c r="DL10" i="2"/>
  <c r="DL8" i="2"/>
  <c r="DL6" i="2"/>
  <c r="DL4" i="2"/>
  <c r="DM15" i="4"/>
  <c r="DM13" i="4"/>
  <c r="DM11" i="4"/>
  <c r="DM9" i="4"/>
  <c r="DM7" i="4"/>
  <c r="DL14" i="4"/>
  <c r="DL12" i="4"/>
  <c r="DY13" i="4" s="1"/>
  <c r="DL10" i="4"/>
  <c r="DL8" i="4"/>
  <c r="DL6" i="4"/>
  <c r="DM31" i="1"/>
  <c r="DM29" i="1"/>
  <c r="DM27" i="1"/>
  <c r="DM25" i="1"/>
  <c r="DM23" i="1"/>
  <c r="DM21" i="1"/>
  <c r="DM19" i="1"/>
  <c r="DM17" i="1"/>
  <c r="DM15" i="1"/>
  <c r="DM13" i="1"/>
  <c r="DM11" i="1"/>
  <c r="DM9" i="1"/>
  <c r="DM4" i="1"/>
  <c r="DL30" i="1"/>
  <c r="DL28" i="1"/>
  <c r="DY29" i="1" s="1"/>
  <c r="DL26" i="1"/>
  <c r="DL24" i="1"/>
  <c r="DY25" i="1"/>
  <c r="DL22" i="1"/>
  <c r="DL20" i="1"/>
  <c r="DY21" i="1" s="1"/>
  <c r="DL18" i="1"/>
  <c r="DL16" i="1"/>
  <c r="DY17" i="1" s="1"/>
  <c r="DL14" i="1"/>
  <c r="DL12" i="1"/>
  <c r="DY13" i="1" s="1"/>
  <c r="DL10" i="1"/>
  <c r="DL8" i="1"/>
  <c r="DY9" i="1"/>
  <c r="DK7" i="3"/>
  <c r="DK5" i="3"/>
  <c r="DK27" i="2"/>
  <c r="DK25" i="2"/>
  <c r="DK23" i="2"/>
  <c r="DK21" i="2"/>
  <c r="DK19" i="2"/>
  <c r="DK17" i="2"/>
  <c r="DK15" i="2"/>
  <c r="DK13" i="2"/>
  <c r="DK11" i="2"/>
  <c r="DK9" i="2"/>
  <c r="DK7" i="2"/>
  <c r="DK5" i="2"/>
  <c r="DK15" i="4"/>
  <c r="DK13" i="4"/>
  <c r="DK11" i="4"/>
  <c r="DK9" i="4"/>
  <c r="DK7" i="4"/>
  <c r="DK31" i="1"/>
  <c r="DK29" i="1"/>
  <c r="DK27" i="1"/>
  <c r="DK25" i="1"/>
  <c r="DK23" i="1"/>
  <c r="DK21" i="1"/>
  <c r="DK19" i="1"/>
  <c r="DK17" i="1"/>
  <c r="DK15" i="1"/>
  <c r="DK13" i="1"/>
  <c r="DK11" i="1"/>
  <c r="DK9" i="1"/>
  <c r="DK6" i="1"/>
  <c r="DX7" i="1" s="1"/>
  <c r="DK4" i="1"/>
  <c r="DG27" i="2"/>
  <c r="DG25" i="2"/>
  <c r="DG23" i="2"/>
  <c r="DG21" i="2"/>
  <c r="DG19" i="2"/>
  <c r="DG17" i="2"/>
  <c r="DG15" i="2"/>
  <c r="DG13" i="2"/>
  <c r="DG11" i="2"/>
  <c r="DG9" i="2"/>
  <c r="DG7" i="2"/>
  <c r="DG5" i="2"/>
  <c r="DJ27" i="2"/>
  <c r="DJ25" i="2"/>
  <c r="DJ23" i="2"/>
  <c r="DJ21" i="2"/>
  <c r="DJ19" i="2"/>
  <c r="DJ17" i="2"/>
  <c r="DJ15" i="2"/>
  <c r="DJ13" i="2"/>
  <c r="DJ11" i="2"/>
  <c r="DJ9" i="2"/>
  <c r="DJ7" i="2"/>
  <c r="DJ5" i="2"/>
  <c r="DJ7" i="3"/>
  <c r="DJ5" i="3"/>
  <c r="DJ4" i="4"/>
  <c r="DJ15" i="4"/>
  <c r="DJ13" i="4"/>
  <c r="DJ11" i="4"/>
  <c r="DJ9" i="4"/>
  <c r="DJ7" i="4"/>
  <c r="DJ31" i="1"/>
  <c r="DJ29" i="1"/>
  <c r="DJ27" i="1"/>
  <c r="DJ25" i="1"/>
  <c r="DJ23" i="1"/>
  <c r="DJ21" i="1"/>
  <c r="DJ19" i="1"/>
  <c r="DJ17" i="1"/>
  <c r="DJ15" i="1"/>
  <c r="DJ13" i="1"/>
  <c r="DJ11" i="1"/>
  <c r="DJ9" i="1"/>
  <c r="DJ6" i="1"/>
  <c r="DJ4" i="1"/>
  <c r="DI7" i="3"/>
  <c r="DI5" i="3"/>
  <c r="DI27" i="2"/>
  <c r="DI25" i="2"/>
  <c r="DI23" i="2"/>
  <c r="DI21" i="2"/>
  <c r="DI19" i="2"/>
  <c r="DI17" i="2"/>
  <c r="DI15" i="2"/>
  <c r="DI13" i="2"/>
  <c r="DI11" i="2"/>
  <c r="DI9" i="2"/>
  <c r="DI7" i="2"/>
  <c r="DI5" i="2"/>
  <c r="DI15" i="4"/>
  <c r="DI13" i="4"/>
  <c r="DI11" i="4"/>
  <c r="DI9" i="4"/>
  <c r="DI7" i="4"/>
  <c r="DI31" i="1"/>
  <c r="DI29" i="1"/>
  <c r="DI27" i="1"/>
  <c r="DI25" i="1"/>
  <c r="DI23" i="1"/>
  <c r="DI21" i="1"/>
  <c r="DI19" i="1"/>
  <c r="DI17" i="1"/>
  <c r="DI15" i="1"/>
  <c r="DI13" i="1"/>
  <c r="DI11" i="1"/>
  <c r="DI9" i="1"/>
  <c r="DI6" i="1"/>
  <c r="DI4" i="1"/>
  <c r="DV5" i="1" s="1"/>
  <c r="DH7" i="3"/>
  <c r="DH5" i="3"/>
  <c r="DH15" i="4"/>
  <c r="DH13" i="4"/>
  <c r="DH11" i="4"/>
  <c r="DH9" i="4"/>
  <c r="DH7" i="4"/>
  <c r="DH4" i="4"/>
  <c r="DH6" i="1"/>
  <c r="DH31" i="1"/>
  <c r="DH29" i="1"/>
  <c r="DH27" i="1"/>
  <c r="DH25" i="1"/>
  <c r="DH23" i="1"/>
  <c r="DH21" i="1"/>
  <c r="DH19" i="1"/>
  <c r="DH17" i="1"/>
  <c r="DH15" i="1"/>
  <c r="DH13" i="1"/>
  <c r="DH11" i="1"/>
  <c r="DH9" i="1"/>
  <c r="DH4" i="1"/>
  <c r="DG7" i="3"/>
  <c r="DG5" i="3"/>
  <c r="DH27" i="2"/>
  <c r="DH25" i="2"/>
  <c r="DH23" i="2"/>
  <c r="DH21" i="2"/>
  <c r="DH19" i="2"/>
  <c r="DH17" i="2"/>
  <c r="DH15" i="2"/>
  <c r="DH13" i="2"/>
  <c r="DH11" i="2"/>
  <c r="DH9" i="2"/>
  <c r="DH7" i="2"/>
  <c r="DH5" i="2"/>
  <c r="DG15" i="4"/>
  <c r="DG13" i="4"/>
  <c r="DG11" i="4"/>
  <c r="DG9" i="4"/>
  <c r="DG7" i="4"/>
  <c r="DG4" i="4"/>
  <c r="DT5" i="4" s="1"/>
  <c r="DG31" i="1"/>
  <c r="DG29" i="1"/>
  <c r="DG27" i="1"/>
  <c r="DG25" i="1"/>
  <c r="DG23" i="1"/>
  <c r="DG21" i="1"/>
  <c r="DG19" i="1"/>
  <c r="DG17" i="1"/>
  <c r="DG15" i="1"/>
  <c r="DG13" i="1"/>
  <c r="DG11" i="1"/>
  <c r="DG9" i="1"/>
  <c r="DG4" i="1"/>
  <c r="DF7" i="3"/>
  <c r="DF5" i="3"/>
  <c r="DF27" i="2"/>
  <c r="DF25" i="2"/>
  <c r="DF23" i="2"/>
  <c r="DF21" i="2"/>
  <c r="DF19" i="2"/>
  <c r="DF17" i="2"/>
  <c r="DF15" i="2"/>
  <c r="DF13" i="2"/>
  <c r="DF11" i="2"/>
  <c r="DF9" i="2"/>
  <c r="DF7" i="2"/>
  <c r="DF5" i="2"/>
  <c r="DF15" i="4"/>
  <c r="DF13" i="4"/>
  <c r="DF11" i="4"/>
  <c r="DF9" i="4"/>
  <c r="DF7" i="4"/>
  <c r="DF4" i="4"/>
  <c r="DF6" i="1"/>
  <c r="DF31" i="1"/>
  <c r="DF29" i="1"/>
  <c r="DF27" i="1"/>
  <c r="DF25" i="1"/>
  <c r="DF23" i="1"/>
  <c r="DF21" i="1"/>
  <c r="DF19" i="1"/>
  <c r="DF17" i="1"/>
  <c r="DF15" i="1"/>
  <c r="DF13" i="1"/>
  <c r="DF11" i="1"/>
  <c r="DF9" i="1"/>
  <c r="DF4" i="1"/>
  <c r="DE7" i="3"/>
  <c r="DE5" i="3"/>
  <c r="DE27" i="2"/>
  <c r="DE25" i="2"/>
  <c r="DE23" i="2"/>
  <c r="DE21" i="2"/>
  <c r="DE19" i="2"/>
  <c r="DE17" i="2"/>
  <c r="DE15" i="2"/>
  <c r="DE13" i="2"/>
  <c r="DE11" i="2"/>
  <c r="DE9" i="2"/>
  <c r="DE7" i="2"/>
  <c r="DE5" i="2"/>
  <c r="DE15" i="4"/>
  <c r="DE13" i="4"/>
  <c r="DE11" i="4"/>
  <c r="DE9" i="4"/>
  <c r="DE7" i="4"/>
  <c r="DE4" i="4"/>
  <c r="DE31" i="1"/>
  <c r="DE29" i="1"/>
  <c r="DE27" i="1"/>
  <c r="DE25" i="1"/>
  <c r="DE23" i="1"/>
  <c r="DE21" i="1"/>
  <c r="DE19" i="1"/>
  <c r="DE17" i="1"/>
  <c r="DE15" i="1"/>
  <c r="DE13" i="1"/>
  <c r="DE11" i="1"/>
  <c r="DE9" i="1"/>
  <c r="DE4" i="1"/>
  <c r="DR5" i="1"/>
  <c r="DD5" i="3"/>
  <c r="DD7" i="3"/>
  <c r="DD5" i="2"/>
  <c r="DD7" i="2"/>
  <c r="DD9" i="2"/>
  <c r="DD11" i="2"/>
  <c r="DD13" i="2"/>
  <c r="DD15" i="2"/>
  <c r="DD17" i="2"/>
  <c r="DD19" i="2"/>
  <c r="DD21" i="2"/>
  <c r="DD23" i="2"/>
  <c r="DD25" i="2"/>
  <c r="DD27" i="2"/>
  <c r="DD4" i="4"/>
  <c r="DD7" i="4"/>
  <c r="DD9" i="4"/>
  <c r="DD11" i="4"/>
  <c r="DD13" i="4"/>
  <c r="DD15" i="4"/>
  <c r="DD4" i="1"/>
  <c r="DD6" i="1"/>
  <c r="DD9" i="1"/>
  <c r="DD11" i="1"/>
  <c r="DD13" i="1"/>
  <c r="DD15" i="1"/>
  <c r="DD17" i="1"/>
  <c r="DD19" i="1"/>
  <c r="DD21" i="1"/>
  <c r="DD23" i="1"/>
  <c r="DD25" i="1"/>
  <c r="DD27" i="1"/>
  <c r="DD29" i="1"/>
  <c r="DD31" i="1"/>
  <c r="DC5" i="3"/>
  <c r="DC7" i="3"/>
  <c r="DC5" i="2"/>
  <c r="DC7" i="2"/>
  <c r="DC9" i="2"/>
  <c r="DC11" i="2"/>
  <c r="DC13" i="2"/>
  <c r="DC15" i="2"/>
  <c r="DC17" i="2"/>
  <c r="DC19" i="2"/>
  <c r="DC21" i="2"/>
  <c r="DC23" i="2"/>
  <c r="DC25" i="2"/>
  <c r="DC27" i="2"/>
  <c r="DC4" i="4"/>
  <c r="DC7" i="4"/>
  <c r="DC9" i="4"/>
  <c r="DC11" i="4"/>
  <c r="DC13" i="4"/>
  <c r="DC15" i="4"/>
  <c r="DC4" i="1"/>
  <c r="DC6" i="1"/>
  <c r="DP7" i="1" s="1"/>
  <c r="DC9" i="1"/>
  <c r="DC11" i="1"/>
  <c r="DC13" i="1"/>
  <c r="DC15" i="1"/>
  <c r="DC17" i="1"/>
  <c r="DC19" i="1"/>
  <c r="DC21" i="1"/>
  <c r="DC23" i="1"/>
  <c r="DC25" i="1"/>
  <c r="DC27" i="1"/>
  <c r="DC29" i="1"/>
  <c r="DC31" i="1"/>
  <c r="DB4" i="1"/>
  <c r="DO5" i="1" s="1"/>
  <c r="DB6" i="1"/>
  <c r="DB9" i="1"/>
  <c r="DB11" i="1"/>
  <c r="DB13" i="1"/>
  <c r="DB15" i="1"/>
  <c r="DB17" i="1"/>
  <c r="DB19" i="1"/>
  <c r="DB21" i="1"/>
  <c r="DB23" i="1"/>
  <c r="DB25" i="1"/>
  <c r="DB27" i="1"/>
  <c r="DB29" i="1"/>
  <c r="DB31" i="1"/>
  <c r="DB4" i="4"/>
  <c r="DB7" i="4"/>
  <c r="DB9" i="4"/>
  <c r="DB11" i="4"/>
  <c r="DB13" i="4"/>
  <c r="DB15" i="4"/>
  <c r="DB5" i="2"/>
  <c r="DB7" i="2"/>
  <c r="DB9" i="2"/>
  <c r="DB11" i="2"/>
  <c r="DB13" i="2"/>
  <c r="DB15" i="2"/>
  <c r="DB17" i="2"/>
  <c r="DB19" i="2"/>
  <c r="DB21" i="2"/>
  <c r="DB23" i="2"/>
  <c r="DB25" i="2"/>
  <c r="DB27" i="2"/>
  <c r="DB5" i="3"/>
  <c r="DB7" i="3"/>
  <c r="DA5" i="3"/>
  <c r="DA7" i="3"/>
  <c r="DA5" i="2"/>
  <c r="DA7" i="2"/>
  <c r="DA9" i="2"/>
  <c r="DA11" i="2"/>
  <c r="DA13" i="2"/>
  <c r="DA15" i="2"/>
  <c r="DA17" i="2"/>
  <c r="DA19" i="2"/>
  <c r="DA21" i="2"/>
  <c r="DA23" i="2"/>
  <c r="DA25" i="2"/>
  <c r="DA27" i="2"/>
  <c r="DA4" i="4"/>
  <c r="DA7" i="4"/>
  <c r="DA9" i="4"/>
  <c r="DA11" i="4"/>
  <c r="DA13" i="4"/>
  <c r="DA15" i="4"/>
  <c r="DA4" i="1"/>
  <c r="DA6" i="1"/>
  <c r="DN7" i="1" s="1"/>
  <c r="DA9" i="1"/>
  <c r="DA11" i="1"/>
  <c r="DA13" i="1"/>
  <c r="DA15" i="1"/>
  <c r="DA17" i="1"/>
  <c r="DA19" i="1"/>
  <c r="DA21" i="1"/>
  <c r="DA23" i="1"/>
  <c r="DA25" i="1"/>
  <c r="DA27" i="1"/>
  <c r="DA29" i="1"/>
  <c r="DA31" i="1"/>
  <c r="CZ7" i="3"/>
  <c r="CZ5" i="3"/>
  <c r="CY6" i="3"/>
  <c r="CY4" i="3"/>
  <c r="DL5" i="3" s="1"/>
  <c r="CL6" i="3"/>
  <c r="CL4" i="3"/>
  <c r="CZ15" i="4"/>
  <c r="CZ13" i="4"/>
  <c r="CZ11" i="4"/>
  <c r="CZ9" i="4"/>
  <c r="CZ7" i="4"/>
  <c r="CZ4" i="4"/>
  <c r="CY14" i="4"/>
  <c r="CY12" i="4"/>
  <c r="DL13" i="4" s="1"/>
  <c r="CY10" i="4"/>
  <c r="CY8" i="4"/>
  <c r="CY6" i="4"/>
  <c r="CL14" i="4"/>
  <c r="CY15" i="4" s="1"/>
  <c r="CL12" i="4"/>
  <c r="CL10" i="4"/>
  <c r="CL8" i="4"/>
  <c r="CL6" i="4"/>
  <c r="CY7" i="4" s="1"/>
  <c r="CZ31" i="1"/>
  <c r="CZ29" i="1"/>
  <c r="CZ27" i="1"/>
  <c r="CZ25" i="1"/>
  <c r="CZ23" i="1"/>
  <c r="CZ21" i="1"/>
  <c r="CZ19" i="1"/>
  <c r="CZ17" i="1"/>
  <c r="CZ15" i="1"/>
  <c r="CZ13" i="1"/>
  <c r="CZ11" i="1"/>
  <c r="CZ9" i="1"/>
  <c r="CZ6" i="1"/>
  <c r="DM7" i="1" s="1"/>
  <c r="CZ4" i="1"/>
  <c r="CY30" i="1"/>
  <c r="DL31" i="1"/>
  <c r="CY28" i="1"/>
  <c r="CY29" i="1" s="1"/>
  <c r="CY26" i="1"/>
  <c r="CY24" i="1"/>
  <c r="CY22" i="1"/>
  <c r="CY23" i="1" s="1"/>
  <c r="CY20" i="1"/>
  <c r="CY18" i="1"/>
  <c r="CY16" i="1"/>
  <c r="CY14" i="1"/>
  <c r="DL15" i="1"/>
  <c r="CY12" i="1"/>
  <c r="CY10" i="1"/>
  <c r="CY8" i="1"/>
  <c r="CL30" i="1"/>
  <c r="CL28" i="1"/>
  <c r="CL26" i="1"/>
  <c r="CL24" i="1"/>
  <c r="CL22" i="1"/>
  <c r="CL20" i="1"/>
  <c r="CL18" i="1"/>
  <c r="CL16" i="1"/>
  <c r="CY17" i="1" s="1"/>
  <c r="CL14" i="1"/>
  <c r="CL12" i="1"/>
  <c r="CY13" i="1"/>
  <c r="CL10" i="1"/>
  <c r="CL8" i="1"/>
  <c r="CZ27" i="2"/>
  <c r="CZ25" i="2"/>
  <c r="CZ23" i="2"/>
  <c r="CZ21" i="2"/>
  <c r="CZ19" i="2"/>
  <c r="CZ17" i="2"/>
  <c r="CZ15" i="2"/>
  <c r="CZ13" i="2"/>
  <c r="CZ11" i="2"/>
  <c r="CZ9" i="2"/>
  <c r="CZ7" i="2"/>
  <c r="CZ5" i="2"/>
  <c r="CY26" i="2"/>
  <c r="CL26" i="2"/>
  <c r="CY24" i="2"/>
  <c r="CL24" i="2"/>
  <c r="CY22" i="2"/>
  <c r="CL22" i="2"/>
  <c r="CY20" i="2"/>
  <c r="CY21" i="2" s="1"/>
  <c r="CL20" i="2"/>
  <c r="CY18" i="2"/>
  <c r="CL18" i="2"/>
  <c r="CY16" i="2"/>
  <c r="DL17" i="2" s="1"/>
  <c r="CL16" i="2"/>
  <c r="CY14" i="2"/>
  <c r="CL14" i="2"/>
  <c r="CY12" i="2"/>
  <c r="CL12" i="2"/>
  <c r="CY10" i="2"/>
  <c r="DL11" i="2"/>
  <c r="CL10" i="2"/>
  <c r="CY8" i="2"/>
  <c r="CL8" i="2"/>
  <c r="CY6" i="2"/>
  <c r="CL6" i="2"/>
  <c r="CY4" i="2"/>
  <c r="CL4" i="2"/>
  <c r="BY26" i="2"/>
  <c r="CL27" i="2" s="1"/>
  <c r="BY24" i="2"/>
  <c r="CL25" i="2" s="1"/>
  <c r="BY22" i="2"/>
  <c r="BY20" i="2"/>
  <c r="CL21" i="2" s="1"/>
  <c r="BY18" i="2"/>
  <c r="CL19" i="2" s="1"/>
  <c r="BY16" i="2"/>
  <c r="CL17" i="2" s="1"/>
  <c r="BY14" i="2"/>
  <c r="BY12" i="2"/>
  <c r="BY10" i="2"/>
  <c r="CL11" i="2"/>
  <c r="BY8" i="2"/>
  <c r="BY6" i="2"/>
  <c r="BY4" i="2"/>
  <c r="CL5" i="2" s="1"/>
  <c r="CX5" i="3"/>
  <c r="CX7" i="3"/>
  <c r="CX5" i="2"/>
  <c r="CX7" i="2"/>
  <c r="CX9" i="2"/>
  <c r="CX11" i="2"/>
  <c r="CX13" i="2"/>
  <c r="CX15" i="2"/>
  <c r="CX17" i="2"/>
  <c r="CX19" i="2"/>
  <c r="CX21" i="2"/>
  <c r="CX23" i="2"/>
  <c r="CX25" i="2"/>
  <c r="CX27" i="2"/>
  <c r="CX4" i="4"/>
  <c r="DK5" i="4" s="1"/>
  <c r="CX7" i="4"/>
  <c r="CX9" i="4"/>
  <c r="CX11" i="4"/>
  <c r="CX13" i="4"/>
  <c r="CX15" i="4"/>
  <c r="CX4" i="1"/>
  <c r="DK5" i="1" s="1"/>
  <c r="CX6" i="1"/>
  <c r="DK7" i="1" s="1"/>
  <c r="CX9" i="1"/>
  <c r="CX11" i="1"/>
  <c r="CX13" i="1"/>
  <c r="CX15" i="1"/>
  <c r="CX17" i="1"/>
  <c r="CX19" i="1"/>
  <c r="CX21" i="1"/>
  <c r="CX23" i="1"/>
  <c r="CX25" i="1"/>
  <c r="CX27" i="1"/>
  <c r="CX29" i="1"/>
  <c r="CX31" i="1"/>
  <c r="CW5" i="3"/>
  <c r="CW7" i="3"/>
  <c r="CW5" i="2"/>
  <c r="CW7" i="2"/>
  <c r="CW9" i="2"/>
  <c r="CW11" i="2"/>
  <c r="CW13" i="2"/>
  <c r="CW15" i="2"/>
  <c r="CW17" i="2"/>
  <c r="CW19" i="2"/>
  <c r="CW21" i="2"/>
  <c r="CW23" i="2"/>
  <c r="CW25" i="2"/>
  <c r="CW27" i="2"/>
  <c r="CW4" i="4"/>
  <c r="CW7" i="4"/>
  <c r="CW9" i="4"/>
  <c r="CW11" i="4"/>
  <c r="CW13" i="4"/>
  <c r="CW15" i="4"/>
  <c r="CW4" i="1"/>
  <c r="CW6" i="1"/>
  <c r="DJ7" i="1" s="1"/>
  <c r="CW9" i="1"/>
  <c r="CW11" i="1"/>
  <c r="CW13" i="1"/>
  <c r="CW15" i="1"/>
  <c r="CW17" i="1"/>
  <c r="CW19" i="1"/>
  <c r="CW21" i="1"/>
  <c r="CW23" i="1"/>
  <c r="CW25" i="1"/>
  <c r="CW27" i="1"/>
  <c r="CW29" i="1"/>
  <c r="CW31" i="1"/>
  <c r="CV11" i="2"/>
  <c r="CV5" i="3"/>
  <c r="CV7" i="3"/>
  <c r="CV5" i="2"/>
  <c r="CV7" i="2"/>
  <c r="CV9" i="2"/>
  <c r="CV13" i="2"/>
  <c r="CV15" i="2"/>
  <c r="CV17" i="2"/>
  <c r="CV19" i="2"/>
  <c r="CV21" i="2"/>
  <c r="CV23" i="2"/>
  <c r="CV25" i="2"/>
  <c r="CV27" i="2"/>
  <c r="CV4" i="4"/>
  <c r="CV7" i="4"/>
  <c r="CV9" i="4"/>
  <c r="CV11" i="4"/>
  <c r="CV13" i="4"/>
  <c r="CV15" i="4"/>
  <c r="CV4" i="1"/>
  <c r="CV6" i="1"/>
  <c r="CV9" i="1"/>
  <c r="CV11" i="1"/>
  <c r="CV13" i="1"/>
  <c r="CV15" i="1"/>
  <c r="CV17" i="1"/>
  <c r="CV19" i="1"/>
  <c r="CV21" i="1"/>
  <c r="CV23" i="1"/>
  <c r="CV25" i="1"/>
  <c r="CV27" i="1"/>
  <c r="CV29" i="1"/>
  <c r="CV31" i="1"/>
  <c r="CU5" i="3"/>
  <c r="CU7" i="3"/>
  <c r="CU5" i="2"/>
  <c r="CU7" i="2"/>
  <c r="CU9" i="2"/>
  <c r="CU11" i="2"/>
  <c r="CU13" i="2"/>
  <c r="CU15" i="2"/>
  <c r="CU17" i="2"/>
  <c r="CU19" i="2"/>
  <c r="CU21" i="2"/>
  <c r="CU23" i="2"/>
  <c r="CU25" i="2"/>
  <c r="CU27" i="2"/>
  <c r="CU4" i="4"/>
  <c r="DH5" i="4" s="1"/>
  <c r="CU7" i="4"/>
  <c r="CU9" i="4"/>
  <c r="CU11" i="4"/>
  <c r="CU13" i="4"/>
  <c r="CU15" i="4"/>
  <c r="CU4" i="1"/>
  <c r="DH5" i="1"/>
  <c r="CU6" i="1"/>
  <c r="DH7" i="1" s="1"/>
  <c r="CU9" i="1"/>
  <c r="CU11" i="1"/>
  <c r="CU13" i="1"/>
  <c r="CU15" i="1"/>
  <c r="CU17" i="1"/>
  <c r="CU19" i="1"/>
  <c r="CU21" i="1"/>
  <c r="CU23" i="1"/>
  <c r="CU25" i="1"/>
  <c r="CU27" i="1"/>
  <c r="CU29" i="1"/>
  <c r="CU31" i="1"/>
  <c r="CT5" i="3"/>
  <c r="CT7" i="3"/>
  <c r="CT5" i="2"/>
  <c r="CT7" i="2"/>
  <c r="CT9" i="2"/>
  <c r="CT11" i="2"/>
  <c r="CT13" i="2"/>
  <c r="CT15" i="2"/>
  <c r="CT17" i="2"/>
  <c r="CT19" i="2"/>
  <c r="CT21" i="2"/>
  <c r="CT23" i="2"/>
  <c r="CT25" i="2"/>
  <c r="CT27" i="2"/>
  <c r="CT4" i="4"/>
  <c r="DG5" i="4" s="1"/>
  <c r="CT7" i="4"/>
  <c r="CT9" i="4"/>
  <c r="CT11" i="4"/>
  <c r="CT13" i="4"/>
  <c r="CT15" i="4"/>
  <c r="CT4" i="1"/>
  <c r="DG5" i="1" s="1"/>
  <c r="CT6" i="1"/>
  <c r="DG7" i="1" s="1"/>
  <c r="CT9" i="1"/>
  <c r="CT11" i="1"/>
  <c r="CT13" i="1"/>
  <c r="CT15" i="1"/>
  <c r="CT17" i="1"/>
  <c r="CT19" i="1"/>
  <c r="CT21" i="1"/>
  <c r="CT23" i="1"/>
  <c r="CT25" i="1"/>
  <c r="CT27" i="1"/>
  <c r="CT29" i="1"/>
  <c r="CT31" i="1"/>
  <c r="CS4" i="1"/>
  <c r="DF5" i="1" s="1"/>
  <c r="CS6" i="1"/>
  <c r="CS9" i="1"/>
  <c r="CS11" i="1"/>
  <c r="CS13" i="1"/>
  <c r="CS15" i="1"/>
  <c r="CS17" i="1"/>
  <c r="CS19" i="1"/>
  <c r="CS21" i="1"/>
  <c r="CS23" i="1"/>
  <c r="CS25" i="1"/>
  <c r="CS27" i="1"/>
  <c r="CS29" i="1"/>
  <c r="CS31" i="1"/>
  <c r="CS4" i="4"/>
  <c r="DF5" i="4" s="1"/>
  <c r="CS7" i="4"/>
  <c r="CS9" i="4"/>
  <c r="CS11" i="4"/>
  <c r="CS13" i="4"/>
  <c r="CS15" i="4"/>
  <c r="CS5" i="2"/>
  <c r="CS7" i="2"/>
  <c r="CS9" i="2"/>
  <c r="CS11" i="2"/>
  <c r="CS13" i="2"/>
  <c r="CS15" i="2"/>
  <c r="CS17" i="2"/>
  <c r="CS19" i="2"/>
  <c r="CS21" i="2"/>
  <c r="CS23" i="2"/>
  <c r="CS25" i="2"/>
  <c r="CS27" i="2"/>
  <c r="CS5" i="3"/>
  <c r="CS7" i="3"/>
  <c r="CR5" i="3"/>
  <c r="CR7" i="3"/>
  <c r="CR5" i="2"/>
  <c r="CR7" i="2"/>
  <c r="CR9" i="2"/>
  <c r="CR11" i="2"/>
  <c r="CR13" i="2"/>
  <c r="CR15" i="2"/>
  <c r="CR17" i="2"/>
  <c r="CR19" i="2"/>
  <c r="CR21" i="2"/>
  <c r="CR23" i="2"/>
  <c r="CR25" i="2"/>
  <c r="CR27" i="2"/>
  <c r="CR4" i="4"/>
  <c r="CR7" i="4"/>
  <c r="CR9" i="4"/>
  <c r="CR11" i="4"/>
  <c r="CR13" i="4"/>
  <c r="CR15" i="4"/>
  <c r="CR4" i="1"/>
  <c r="CR6" i="1"/>
  <c r="DE7" i="1" s="1"/>
  <c r="CR9" i="1"/>
  <c r="CR11" i="1"/>
  <c r="CR13" i="1"/>
  <c r="CR15" i="1"/>
  <c r="CR17" i="1"/>
  <c r="CR19" i="1"/>
  <c r="CR21" i="1"/>
  <c r="CR23" i="1"/>
  <c r="CR25" i="1"/>
  <c r="CR27" i="1"/>
  <c r="CR29" i="1"/>
  <c r="CR31" i="1"/>
  <c r="CQ5" i="3"/>
  <c r="CQ7" i="3"/>
  <c r="CQ5" i="2"/>
  <c r="CQ7" i="2"/>
  <c r="CQ9" i="2"/>
  <c r="CQ11" i="2"/>
  <c r="CQ13" i="2"/>
  <c r="CQ15" i="2"/>
  <c r="CQ17" i="2"/>
  <c r="CQ19" i="2"/>
  <c r="CQ21" i="2"/>
  <c r="CQ23" i="2"/>
  <c r="CQ25" i="2"/>
  <c r="CQ27" i="2"/>
  <c r="CQ4" i="4"/>
  <c r="CQ7" i="4"/>
  <c r="CQ9" i="4"/>
  <c r="CQ11" i="4"/>
  <c r="CQ13" i="4"/>
  <c r="CQ15" i="4"/>
  <c r="CQ4" i="1"/>
  <c r="DD5" i="1" s="1"/>
  <c r="CQ6" i="1"/>
  <c r="DD7" i="1" s="1"/>
  <c r="CQ9" i="1"/>
  <c r="CQ11" i="1"/>
  <c r="CQ13" i="1"/>
  <c r="CQ15" i="1"/>
  <c r="CQ17" i="1"/>
  <c r="CQ19" i="1"/>
  <c r="CQ21" i="1"/>
  <c r="CQ23" i="1"/>
  <c r="CQ25" i="1"/>
  <c r="CQ27" i="1"/>
  <c r="CQ29" i="1"/>
  <c r="CQ31" i="1"/>
  <c r="CP5" i="3"/>
  <c r="CP7" i="3"/>
  <c r="CP5" i="2"/>
  <c r="CP7" i="2"/>
  <c r="CP9" i="2"/>
  <c r="CP11" i="2"/>
  <c r="CP13" i="2"/>
  <c r="CP15" i="2"/>
  <c r="CP17" i="2"/>
  <c r="CP19" i="2"/>
  <c r="CP21" i="2"/>
  <c r="CP23" i="2"/>
  <c r="CP25" i="2"/>
  <c r="CP27" i="2"/>
  <c r="CP4" i="4"/>
  <c r="CP7" i="4"/>
  <c r="CP9" i="4"/>
  <c r="CP11" i="4"/>
  <c r="CP13" i="4"/>
  <c r="CP15" i="4"/>
  <c r="CP4" i="1"/>
  <c r="CP6" i="1"/>
  <c r="CP9" i="1"/>
  <c r="CP11" i="1"/>
  <c r="CP13" i="1"/>
  <c r="CP15" i="1"/>
  <c r="CP17" i="1"/>
  <c r="CP19" i="1"/>
  <c r="CP21" i="1"/>
  <c r="CP23" i="1"/>
  <c r="CP25" i="1"/>
  <c r="CP27" i="1"/>
  <c r="CP29" i="1"/>
  <c r="CP31" i="1"/>
  <c r="CO5" i="3"/>
  <c r="CO7" i="3"/>
  <c r="CO5" i="2"/>
  <c r="CO7" i="2"/>
  <c r="CO9" i="2"/>
  <c r="CO11" i="2"/>
  <c r="CO13" i="2"/>
  <c r="CO15" i="2"/>
  <c r="CO17" i="2"/>
  <c r="CO19" i="2"/>
  <c r="CO21" i="2"/>
  <c r="CO23" i="2"/>
  <c r="CO25" i="2"/>
  <c r="CO27" i="2"/>
  <c r="CO4" i="4"/>
  <c r="CO7" i="4"/>
  <c r="CO9" i="4"/>
  <c r="CO11" i="4"/>
  <c r="CO13" i="4"/>
  <c r="CO15" i="4"/>
  <c r="CO4" i="1"/>
  <c r="CO6" i="1"/>
  <c r="CO9" i="1"/>
  <c r="CO11" i="1"/>
  <c r="CO13" i="1"/>
  <c r="CO15" i="1"/>
  <c r="CO17" i="1"/>
  <c r="CO19" i="1"/>
  <c r="CO21" i="1"/>
  <c r="CO23" i="1"/>
  <c r="CO25" i="1"/>
  <c r="CO27" i="1"/>
  <c r="CO29" i="1"/>
  <c r="CO31" i="1"/>
  <c r="CN5" i="3"/>
  <c r="CN7" i="3"/>
  <c r="CN5" i="2"/>
  <c r="CN7" i="2"/>
  <c r="CN9" i="2"/>
  <c r="CN11" i="2"/>
  <c r="CN13" i="2"/>
  <c r="CN15" i="2"/>
  <c r="CN17" i="2"/>
  <c r="CN19" i="2"/>
  <c r="CN21" i="2"/>
  <c r="CN23" i="2"/>
  <c r="CN25" i="2"/>
  <c r="CN27" i="2"/>
  <c r="CN4" i="4"/>
  <c r="DA5" i="4" s="1"/>
  <c r="CN7" i="4"/>
  <c r="CN9" i="4"/>
  <c r="CN11" i="4"/>
  <c r="CN13" i="4"/>
  <c r="CN15" i="4"/>
  <c r="CN4" i="1"/>
  <c r="DA5" i="1" s="1"/>
  <c r="CN6" i="1"/>
  <c r="CN9" i="1"/>
  <c r="CN11" i="1"/>
  <c r="CN13" i="1"/>
  <c r="CN15" i="1"/>
  <c r="CN17" i="1"/>
  <c r="CN19" i="1"/>
  <c r="CN21" i="1"/>
  <c r="CN23" i="1"/>
  <c r="CN25" i="1"/>
  <c r="CN27" i="1"/>
  <c r="CN29" i="1"/>
  <c r="CN31" i="1"/>
  <c r="CM27" i="2"/>
  <c r="CM25" i="2"/>
  <c r="CM23" i="2"/>
  <c r="CM21" i="2"/>
  <c r="CM19" i="2"/>
  <c r="CM17" i="2"/>
  <c r="CM15" i="2"/>
  <c r="CM13" i="2"/>
  <c r="CM11" i="2"/>
  <c r="CM9" i="2"/>
  <c r="CM7" i="2"/>
  <c r="CM5" i="2"/>
  <c r="CM4" i="4"/>
  <c r="CZ5" i="4" s="1"/>
  <c r="CM7" i="3"/>
  <c r="CM5" i="3"/>
  <c r="CM15" i="4"/>
  <c r="CM13" i="4"/>
  <c r="CM11" i="4"/>
  <c r="CM9" i="4"/>
  <c r="CM7" i="4"/>
  <c r="CM31" i="1"/>
  <c r="CM29" i="1"/>
  <c r="CM27" i="1"/>
  <c r="CM25" i="1"/>
  <c r="CM23" i="1"/>
  <c r="CM21" i="1"/>
  <c r="CM19" i="1"/>
  <c r="CM17" i="1"/>
  <c r="CM15" i="1"/>
  <c r="CM13" i="1"/>
  <c r="CM11" i="1"/>
  <c r="CM9" i="1"/>
  <c r="CM6" i="1"/>
  <c r="CM4" i="1"/>
  <c r="CZ5" i="1"/>
  <c r="BY20" i="1"/>
  <c r="BY18" i="1"/>
  <c r="BY16" i="1"/>
  <c r="BY14" i="1"/>
  <c r="BY12" i="1"/>
  <c r="BY10" i="1"/>
  <c r="BY8" i="1"/>
  <c r="BM6" i="1"/>
  <c r="BN6" i="1"/>
  <c r="BO6" i="1"/>
  <c r="BP6" i="1"/>
  <c r="BQ6" i="1"/>
  <c r="BR6" i="1"/>
  <c r="BS6" i="1"/>
  <c r="BT6" i="1"/>
  <c r="BU6" i="1"/>
  <c r="BV6" i="1"/>
  <c r="BW6" i="1"/>
  <c r="BX6" i="1"/>
  <c r="BM4" i="1"/>
  <c r="BN4" i="1"/>
  <c r="BO4" i="1"/>
  <c r="BP4" i="1"/>
  <c r="BQ4" i="1"/>
  <c r="BR4" i="1"/>
  <c r="BS4" i="1"/>
  <c r="BT4" i="1"/>
  <c r="BU4" i="1"/>
  <c r="BV4" i="1"/>
  <c r="BW4" i="1"/>
  <c r="BX4" i="1"/>
  <c r="CK5" i="3"/>
  <c r="CK7" i="3"/>
  <c r="CK4" i="4"/>
  <c r="CX5" i="4" s="1"/>
  <c r="CK7" i="4"/>
  <c r="CK9" i="4"/>
  <c r="CK11" i="4"/>
  <c r="CK13" i="4"/>
  <c r="CK15" i="4"/>
  <c r="CK4" i="1"/>
  <c r="CK6" i="1"/>
  <c r="CK9" i="1"/>
  <c r="CK11" i="1"/>
  <c r="CK13" i="1"/>
  <c r="CK15" i="1"/>
  <c r="CK17" i="1"/>
  <c r="CK19" i="1"/>
  <c r="CK21" i="1"/>
  <c r="CK23" i="1"/>
  <c r="CK25" i="1"/>
  <c r="CK27" i="1"/>
  <c r="CK29" i="1"/>
  <c r="CK31" i="1"/>
  <c r="CJ5" i="3"/>
  <c r="CJ7" i="3"/>
  <c r="CJ5" i="2"/>
  <c r="CK5" i="2"/>
  <c r="CJ7" i="2"/>
  <c r="CK7" i="2"/>
  <c r="CJ9" i="2"/>
  <c r="CK9" i="2"/>
  <c r="CJ11" i="2"/>
  <c r="CK11" i="2"/>
  <c r="CJ13" i="2"/>
  <c r="CK13" i="2"/>
  <c r="CJ15" i="2"/>
  <c r="CK15" i="2"/>
  <c r="CJ17" i="2"/>
  <c r="CK17" i="2"/>
  <c r="CJ19" i="2"/>
  <c r="CK19" i="2"/>
  <c r="CJ21" i="2"/>
  <c r="CK21" i="2"/>
  <c r="CJ23" i="2"/>
  <c r="CK23" i="2"/>
  <c r="CJ25" i="2"/>
  <c r="CK25" i="2"/>
  <c r="CJ27" i="2"/>
  <c r="CK27" i="2"/>
  <c r="CJ4" i="4"/>
  <c r="CJ7" i="4"/>
  <c r="CJ9" i="4"/>
  <c r="CJ11" i="4"/>
  <c r="CJ13" i="4"/>
  <c r="CJ15" i="4"/>
  <c r="CJ4" i="1"/>
  <c r="CJ6" i="1"/>
  <c r="CJ7" i="1" s="1"/>
  <c r="CJ9" i="1"/>
  <c r="CJ11" i="1"/>
  <c r="CJ13" i="1"/>
  <c r="CJ15" i="1"/>
  <c r="CJ17" i="1"/>
  <c r="CJ19" i="1"/>
  <c r="CJ21" i="1"/>
  <c r="CJ23" i="1"/>
  <c r="CJ25" i="1"/>
  <c r="CJ27" i="1"/>
  <c r="CJ29" i="1"/>
  <c r="CJ31" i="1"/>
  <c r="CI5" i="3"/>
  <c r="CI7" i="3"/>
  <c r="CI5" i="2"/>
  <c r="CI7" i="2"/>
  <c r="CI9" i="2"/>
  <c r="CI11" i="2"/>
  <c r="CI13" i="2"/>
  <c r="CI15" i="2"/>
  <c r="CI17" i="2"/>
  <c r="CI19" i="2"/>
  <c r="CI21" i="2"/>
  <c r="CI23" i="2"/>
  <c r="CI25" i="2"/>
  <c r="CI27" i="2"/>
  <c r="CI4" i="4"/>
  <c r="CI7" i="4"/>
  <c r="CI9" i="4"/>
  <c r="CI11" i="4"/>
  <c r="CI13" i="4"/>
  <c r="CI15" i="4"/>
  <c r="CI4" i="1"/>
  <c r="CV5" i="1"/>
  <c r="CI6" i="1"/>
  <c r="CI9" i="1"/>
  <c r="CI11" i="1"/>
  <c r="CI13" i="1"/>
  <c r="CI15" i="1"/>
  <c r="CI17" i="1"/>
  <c r="CI19" i="1"/>
  <c r="CI21" i="1"/>
  <c r="CI23" i="1"/>
  <c r="CI25" i="1"/>
  <c r="CI27" i="1"/>
  <c r="CI29" i="1"/>
  <c r="CI31" i="1"/>
  <c r="CH4" i="1"/>
  <c r="CH5" i="1" s="1"/>
  <c r="CH5" i="3"/>
  <c r="CH7" i="3"/>
  <c r="CH5" i="2"/>
  <c r="CH7" i="2"/>
  <c r="CH9" i="2"/>
  <c r="CH11" i="2"/>
  <c r="CH13" i="2"/>
  <c r="CH15" i="2"/>
  <c r="CH17" i="2"/>
  <c r="CH19" i="2"/>
  <c r="CH21" i="2"/>
  <c r="CH23" i="2"/>
  <c r="CH25" i="2"/>
  <c r="CH27" i="2"/>
  <c r="CH4" i="4"/>
  <c r="CH7" i="4"/>
  <c r="CH9" i="4"/>
  <c r="CH11" i="4"/>
  <c r="CH13" i="4"/>
  <c r="CH15" i="4"/>
  <c r="CH6" i="1"/>
  <c r="CH9" i="1"/>
  <c r="CH11" i="1"/>
  <c r="CH13" i="1"/>
  <c r="CH15" i="1"/>
  <c r="CH17" i="1"/>
  <c r="CH19" i="1"/>
  <c r="CH21" i="1"/>
  <c r="CH23" i="1"/>
  <c r="CH25" i="1"/>
  <c r="CH27" i="1"/>
  <c r="CH29" i="1"/>
  <c r="CH31" i="1"/>
  <c r="CG6" i="1"/>
  <c r="CF6" i="1"/>
  <c r="CG5" i="3"/>
  <c r="CG7" i="3"/>
  <c r="CG5" i="2"/>
  <c r="CG7" i="2"/>
  <c r="CG9" i="2"/>
  <c r="CG11" i="2"/>
  <c r="CG13" i="2"/>
  <c r="CG15" i="2"/>
  <c r="CG17" i="2"/>
  <c r="CG19" i="2"/>
  <c r="CG21" i="2"/>
  <c r="CG23" i="2"/>
  <c r="CG25" i="2"/>
  <c r="CG27" i="2"/>
  <c r="CG4" i="4"/>
  <c r="CG7" i="4"/>
  <c r="CG9" i="4"/>
  <c r="CG11" i="4"/>
  <c r="CG13" i="4"/>
  <c r="CG15" i="4"/>
  <c r="CG31" i="1"/>
  <c r="CG29" i="1"/>
  <c r="CG27" i="1"/>
  <c r="CG25" i="1"/>
  <c r="CG23" i="1"/>
  <c r="CG21" i="1"/>
  <c r="CG19" i="1"/>
  <c r="CG17" i="1"/>
  <c r="CG15" i="1"/>
  <c r="CG13" i="1"/>
  <c r="CG11" i="1"/>
  <c r="CG9" i="1"/>
  <c r="CG4" i="1"/>
  <c r="CG5" i="1" s="1"/>
  <c r="CF5" i="3"/>
  <c r="CF7" i="3"/>
  <c r="CF5" i="2"/>
  <c r="CF7" i="2"/>
  <c r="CF9" i="2"/>
  <c r="CF11" i="2"/>
  <c r="CF13" i="2"/>
  <c r="CF15" i="2"/>
  <c r="CF17" i="2"/>
  <c r="CF19" i="2"/>
  <c r="CF21" i="2"/>
  <c r="CF23" i="2"/>
  <c r="CF25" i="2"/>
  <c r="CF27" i="2"/>
  <c r="CF4" i="4"/>
  <c r="CF7" i="4"/>
  <c r="CF9" i="4"/>
  <c r="CF11" i="4"/>
  <c r="CF13" i="4"/>
  <c r="CF15" i="4"/>
  <c r="CF31" i="1"/>
  <c r="CF29" i="1"/>
  <c r="CF27" i="1"/>
  <c r="CF25" i="1"/>
  <c r="CF23" i="1"/>
  <c r="CF21" i="1"/>
  <c r="CF19" i="1"/>
  <c r="CF17" i="1"/>
  <c r="CF15" i="1"/>
  <c r="CF13" i="1"/>
  <c r="CF11" i="1"/>
  <c r="CF9" i="1"/>
  <c r="CF4" i="1"/>
  <c r="CE6" i="1"/>
  <c r="CE7" i="1" s="1"/>
  <c r="CE4" i="1"/>
  <c r="CE7" i="3"/>
  <c r="CE5" i="3"/>
  <c r="CE27" i="2"/>
  <c r="CE25" i="2"/>
  <c r="CE23" i="2"/>
  <c r="CE21" i="2"/>
  <c r="CE19" i="2"/>
  <c r="CE17" i="2"/>
  <c r="CE15" i="2"/>
  <c r="CE13" i="2"/>
  <c r="CE11" i="2"/>
  <c r="CE9" i="2"/>
  <c r="CE7" i="2"/>
  <c r="CE5" i="2"/>
  <c r="CE15" i="4"/>
  <c r="CE13" i="4"/>
  <c r="CE11" i="4"/>
  <c r="CE9" i="4"/>
  <c r="CE7" i="4"/>
  <c r="CE4" i="4"/>
  <c r="CE31" i="1"/>
  <c r="CE29" i="1"/>
  <c r="CE27" i="1"/>
  <c r="CE25" i="1"/>
  <c r="CE23" i="1"/>
  <c r="CE21" i="1"/>
  <c r="CE19" i="1"/>
  <c r="CE17" i="1"/>
  <c r="CE13" i="1"/>
  <c r="CE15" i="1"/>
  <c r="CE11" i="1"/>
  <c r="CE9" i="1"/>
  <c r="CD7" i="3"/>
  <c r="CD5" i="3"/>
  <c r="CD27" i="2"/>
  <c r="CD23" i="2"/>
  <c r="CD17" i="2"/>
  <c r="CD25" i="2"/>
  <c r="CD21" i="2"/>
  <c r="CD19" i="2"/>
  <c r="CD15" i="2"/>
  <c r="CD13" i="2"/>
  <c r="CD11" i="2"/>
  <c r="CD9" i="2"/>
  <c r="CD7" i="2"/>
  <c r="CD5" i="2"/>
  <c r="CD15" i="4"/>
  <c r="CD13" i="4"/>
  <c r="CD11" i="4"/>
  <c r="CD9" i="4"/>
  <c r="CD7" i="4"/>
  <c r="CD4" i="4"/>
  <c r="CD31" i="1"/>
  <c r="CD29" i="1"/>
  <c r="CD27" i="1"/>
  <c r="CD25" i="1"/>
  <c r="CD23" i="1"/>
  <c r="CD21" i="1"/>
  <c r="CD19" i="1"/>
  <c r="CD17" i="1"/>
  <c r="CD15" i="1"/>
  <c r="CD13" i="1"/>
  <c r="CD11" i="1"/>
  <c r="CD9" i="1"/>
  <c r="CD4" i="1"/>
  <c r="CD6" i="1"/>
  <c r="CQ7" i="1" s="1"/>
  <c r="CC7" i="3"/>
  <c r="CC5" i="3"/>
  <c r="CC27" i="2"/>
  <c r="CC25" i="2"/>
  <c r="CC23" i="2"/>
  <c r="CC21" i="2"/>
  <c r="CC19" i="2"/>
  <c r="CC17" i="2"/>
  <c r="CC15" i="2"/>
  <c r="CC13" i="2"/>
  <c r="CC11" i="2"/>
  <c r="CC9" i="2"/>
  <c r="CC7" i="2"/>
  <c r="CC5" i="2"/>
  <c r="CC15" i="4"/>
  <c r="CC13" i="4"/>
  <c r="CC11" i="4"/>
  <c r="CC9" i="4"/>
  <c r="CC7" i="4"/>
  <c r="CC4" i="4"/>
  <c r="CP5" i="4" s="1"/>
  <c r="CC31" i="1"/>
  <c r="CC29" i="1"/>
  <c r="CC27" i="1"/>
  <c r="CC25" i="1"/>
  <c r="CC23" i="1"/>
  <c r="CC21" i="1"/>
  <c r="CC19" i="1"/>
  <c r="CC17" i="1"/>
  <c r="CC15" i="1"/>
  <c r="CC13" i="1"/>
  <c r="CC11" i="1"/>
  <c r="CC9" i="1"/>
  <c r="CC6" i="1"/>
  <c r="CC7" i="1" s="1"/>
  <c r="CC4" i="1"/>
  <c r="CC5" i="1" s="1"/>
  <c r="CB7" i="3"/>
  <c r="CB5" i="3"/>
  <c r="CB27" i="2"/>
  <c r="CB25" i="2"/>
  <c r="CB23" i="2"/>
  <c r="CB21" i="2"/>
  <c r="CB19" i="2"/>
  <c r="CB17" i="2"/>
  <c r="CB15" i="2"/>
  <c r="CB13" i="2"/>
  <c r="CB11" i="2"/>
  <c r="CB9" i="2"/>
  <c r="CB7" i="2"/>
  <c r="CB5" i="2"/>
  <c r="CB15" i="4"/>
  <c r="CB13" i="4"/>
  <c r="CB11" i="4"/>
  <c r="CB9" i="4"/>
  <c r="CB7" i="4"/>
  <c r="CB4" i="4"/>
  <c r="CB31" i="1"/>
  <c r="CB29" i="1"/>
  <c r="CB27" i="1"/>
  <c r="CB25" i="1"/>
  <c r="CB23" i="1"/>
  <c r="CB21" i="1"/>
  <c r="CB19" i="1"/>
  <c r="CB17" i="1"/>
  <c r="CB15" i="1"/>
  <c r="CB13" i="1"/>
  <c r="CB11" i="1"/>
  <c r="CB9" i="1"/>
  <c r="CB6" i="1"/>
  <c r="CB4" i="1"/>
  <c r="CO5" i="1" s="1"/>
  <c r="CA7" i="3"/>
  <c r="CA5" i="3"/>
  <c r="CA27" i="2"/>
  <c r="CA25" i="2"/>
  <c r="CA23" i="2"/>
  <c r="CA21" i="2"/>
  <c r="CA19" i="2"/>
  <c r="CA17" i="2"/>
  <c r="CA15" i="2"/>
  <c r="CA13" i="2"/>
  <c r="CA11" i="2"/>
  <c r="CA9" i="2"/>
  <c r="CA7" i="2"/>
  <c r="CA5" i="2"/>
  <c r="CA15" i="4"/>
  <c r="CA13" i="4"/>
  <c r="CA11" i="4"/>
  <c r="CA9" i="4"/>
  <c r="CA7" i="4"/>
  <c r="CA4" i="4"/>
  <c r="CA31" i="1"/>
  <c r="CA29" i="1"/>
  <c r="CA27" i="1"/>
  <c r="CA25" i="1"/>
  <c r="CA23" i="1"/>
  <c r="CA21" i="1"/>
  <c r="CA19" i="1"/>
  <c r="CA17" i="1"/>
  <c r="CA15" i="1"/>
  <c r="CA13" i="1"/>
  <c r="CA11" i="1"/>
  <c r="CA9" i="1"/>
  <c r="CA6" i="1"/>
  <c r="CA7" i="1"/>
  <c r="CA4" i="1"/>
  <c r="CA5" i="1" s="1"/>
  <c r="BZ7" i="3"/>
  <c r="BZ5" i="3"/>
  <c r="BY6" i="3"/>
  <c r="BY4" i="3"/>
  <c r="CL5" i="3" s="1"/>
  <c r="BZ27" i="2"/>
  <c r="BZ25" i="2"/>
  <c r="BZ23" i="2"/>
  <c r="BZ21" i="2"/>
  <c r="BZ19" i="2"/>
  <c r="BZ17" i="2"/>
  <c r="BZ15" i="2"/>
  <c r="BZ13" i="2"/>
  <c r="BZ11" i="2"/>
  <c r="BZ9" i="2"/>
  <c r="BZ7" i="2"/>
  <c r="BZ5" i="2"/>
  <c r="AZ26" i="2"/>
  <c r="BY27" i="2" s="1"/>
  <c r="AZ24" i="2"/>
  <c r="AZ22" i="2"/>
  <c r="BY23" i="2" s="1"/>
  <c r="AZ20" i="2"/>
  <c r="AZ18" i="2"/>
  <c r="BY19" i="2"/>
  <c r="AZ16" i="2"/>
  <c r="AZ14" i="2"/>
  <c r="AZ12" i="2"/>
  <c r="AZ10" i="2"/>
  <c r="BY11" i="2" s="1"/>
  <c r="AZ8" i="2"/>
  <c r="AZ6" i="2"/>
  <c r="AZ4" i="2"/>
  <c r="BZ15" i="4"/>
  <c r="BZ13" i="4"/>
  <c r="BZ11" i="4"/>
  <c r="BZ9" i="4"/>
  <c r="BZ7" i="4"/>
  <c r="BZ4" i="4"/>
  <c r="BZ31" i="1"/>
  <c r="BZ29" i="1"/>
  <c r="BZ27" i="1"/>
  <c r="BZ25" i="1"/>
  <c r="BZ23" i="1"/>
  <c r="BZ21" i="1"/>
  <c r="BZ19" i="1"/>
  <c r="BZ17" i="1"/>
  <c r="BZ15" i="1"/>
  <c r="BZ13" i="1"/>
  <c r="BZ11" i="1"/>
  <c r="BZ9" i="1"/>
  <c r="BZ6" i="1"/>
  <c r="BZ4" i="1"/>
  <c r="BY30" i="1"/>
  <c r="AZ30" i="1"/>
  <c r="BY28" i="1"/>
  <c r="AZ28" i="1"/>
  <c r="BY26" i="1"/>
  <c r="AZ26" i="1"/>
  <c r="BY24" i="1"/>
  <c r="AZ24" i="1"/>
  <c r="BY22" i="1"/>
  <c r="AZ22" i="1"/>
  <c r="AZ20" i="1"/>
  <c r="BY21" i="1"/>
  <c r="AZ18" i="1"/>
  <c r="BY19" i="1" s="1"/>
  <c r="AZ16" i="1"/>
  <c r="AZ14" i="1"/>
  <c r="AZ12" i="1"/>
  <c r="BY13" i="1" s="1"/>
  <c r="AZ10" i="1"/>
  <c r="BY11" i="1" s="1"/>
  <c r="AZ8" i="1"/>
  <c r="BA6" i="1"/>
  <c r="BB6" i="1"/>
  <c r="BN7" i="1" s="1"/>
  <c r="BC6" i="1"/>
  <c r="BD6" i="1"/>
  <c r="BP7" i="1" s="1"/>
  <c r="BE6" i="1"/>
  <c r="BF6" i="1"/>
  <c r="BR7" i="1"/>
  <c r="BG6" i="1"/>
  <c r="BS7" i="1" s="1"/>
  <c r="BH6" i="1"/>
  <c r="BH7" i="1"/>
  <c r="BI6" i="1"/>
  <c r="BJ6" i="1"/>
  <c r="BK6" i="1"/>
  <c r="BL6" i="1"/>
  <c r="BA4" i="1"/>
  <c r="BB4" i="1"/>
  <c r="BC4" i="1"/>
  <c r="BD4" i="1"/>
  <c r="BE4" i="1"/>
  <c r="BF4" i="1"/>
  <c r="BR5" i="1" s="1"/>
  <c r="BG4" i="1"/>
  <c r="BH4" i="1"/>
  <c r="BT5" i="1"/>
  <c r="BI4" i="1"/>
  <c r="BJ4" i="1"/>
  <c r="BV5" i="1" s="1"/>
  <c r="BK4" i="1"/>
  <c r="BW5" i="1" s="1"/>
  <c r="BL4" i="1"/>
  <c r="BY14" i="4"/>
  <c r="BY12" i="4"/>
  <c r="CL13" i="4" s="1"/>
  <c r="BY10" i="4"/>
  <c r="CL11" i="4" s="1"/>
  <c r="BY8" i="4"/>
  <c r="CL9" i="4" s="1"/>
  <c r="BY6" i="4"/>
  <c r="BX7" i="3"/>
  <c r="BX5" i="3"/>
  <c r="BX27" i="2"/>
  <c r="BX25" i="2"/>
  <c r="BX23" i="2"/>
  <c r="BX21" i="2"/>
  <c r="BX19" i="2"/>
  <c r="BX17" i="2"/>
  <c r="BX15" i="2"/>
  <c r="BX13" i="2"/>
  <c r="BX11" i="2"/>
  <c r="BX9" i="2"/>
  <c r="BX7" i="2"/>
  <c r="BX5" i="2"/>
  <c r="BX15" i="4"/>
  <c r="BX13" i="4"/>
  <c r="BX11" i="4"/>
  <c r="BX9" i="4"/>
  <c r="BX7" i="4"/>
  <c r="BX4" i="4"/>
  <c r="BX31" i="1"/>
  <c r="BX29" i="1"/>
  <c r="BX27" i="1"/>
  <c r="BX25" i="1"/>
  <c r="BX23" i="1"/>
  <c r="BX21" i="1"/>
  <c r="BX19" i="1"/>
  <c r="BX17" i="1"/>
  <c r="BX15" i="1"/>
  <c r="BX13" i="1"/>
  <c r="BX11" i="1"/>
  <c r="BX9" i="1"/>
  <c r="BW7" i="3"/>
  <c r="BW5" i="3"/>
  <c r="BW27" i="2"/>
  <c r="BW25" i="2"/>
  <c r="BW23" i="2"/>
  <c r="BW21" i="2"/>
  <c r="BW19" i="2"/>
  <c r="BW17" i="2"/>
  <c r="BW15" i="2"/>
  <c r="BW13" i="2"/>
  <c r="BW11" i="2"/>
  <c r="BW9" i="2"/>
  <c r="BW7" i="2"/>
  <c r="BW5" i="2"/>
  <c r="BW15" i="4"/>
  <c r="BW13" i="4"/>
  <c r="BW11" i="4"/>
  <c r="BW9" i="4"/>
  <c r="BW7" i="4"/>
  <c r="BW4" i="4"/>
  <c r="CJ5" i="4" s="1"/>
  <c r="BW31" i="1"/>
  <c r="BW29" i="1"/>
  <c r="BW27" i="1"/>
  <c r="BW25" i="1"/>
  <c r="BW23" i="1"/>
  <c r="BW21" i="1"/>
  <c r="BW19" i="1"/>
  <c r="BW17" i="1"/>
  <c r="BW15" i="1"/>
  <c r="BW13" i="1"/>
  <c r="BW11" i="1"/>
  <c r="BW9" i="1"/>
  <c r="BV7" i="3"/>
  <c r="BV5" i="3"/>
  <c r="BV27" i="2"/>
  <c r="BV25" i="2"/>
  <c r="BV23" i="2"/>
  <c r="BV21" i="2"/>
  <c r="BV19" i="2"/>
  <c r="BV17" i="2"/>
  <c r="BV15" i="2"/>
  <c r="BV13" i="2"/>
  <c r="BV11" i="2"/>
  <c r="BV9" i="2"/>
  <c r="BV7" i="2"/>
  <c r="BV5" i="2"/>
  <c r="BV15" i="4"/>
  <c r="BV13" i="4"/>
  <c r="BV11" i="4"/>
  <c r="BV9" i="4"/>
  <c r="BV7" i="4"/>
  <c r="BV4" i="4"/>
  <c r="BV31" i="1"/>
  <c r="BV29" i="1"/>
  <c r="BV27" i="1"/>
  <c r="BV25" i="1"/>
  <c r="BV23" i="1"/>
  <c r="BV21" i="1"/>
  <c r="BV19" i="1"/>
  <c r="BV17" i="1"/>
  <c r="BV15" i="1"/>
  <c r="BV13" i="1"/>
  <c r="BV11" i="1"/>
  <c r="BV9" i="1"/>
  <c r="BU7" i="3"/>
  <c r="BU5" i="3"/>
  <c r="BU27" i="2"/>
  <c r="BU25" i="2"/>
  <c r="BU23" i="2"/>
  <c r="BU21" i="2"/>
  <c r="BU19" i="2"/>
  <c r="BU17" i="2"/>
  <c r="BU15" i="2"/>
  <c r="BU13" i="2"/>
  <c r="BU11" i="2"/>
  <c r="BU9" i="2"/>
  <c r="BU7" i="2"/>
  <c r="BU5" i="2"/>
  <c r="BU15" i="4"/>
  <c r="BU13" i="4"/>
  <c r="BU11" i="4"/>
  <c r="BU9" i="4"/>
  <c r="BU7" i="4"/>
  <c r="BU4" i="4"/>
  <c r="BU31" i="1"/>
  <c r="BU29" i="1"/>
  <c r="BU27" i="1"/>
  <c r="BU25" i="1"/>
  <c r="BU23" i="1"/>
  <c r="BU21" i="1"/>
  <c r="BU19" i="1"/>
  <c r="BU17" i="1"/>
  <c r="BU15" i="1"/>
  <c r="BU13" i="1"/>
  <c r="BU11" i="1"/>
  <c r="BU9" i="1"/>
  <c r="BT7" i="3"/>
  <c r="BT5" i="3"/>
  <c r="BT27" i="2"/>
  <c r="BT25" i="2"/>
  <c r="BT23" i="2"/>
  <c r="BT21" i="2"/>
  <c r="BT19" i="2"/>
  <c r="BT17" i="2"/>
  <c r="BT15" i="2"/>
  <c r="BT13" i="2"/>
  <c r="BT11" i="2"/>
  <c r="BT9" i="2"/>
  <c r="BT7" i="2"/>
  <c r="BT5" i="2"/>
  <c r="BT15" i="4"/>
  <c r="BT13" i="4"/>
  <c r="BT11" i="4"/>
  <c r="BT9" i="4"/>
  <c r="BT7" i="4"/>
  <c r="BT4" i="4"/>
  <c r="BT31" i="1"/>
  <c r="BT29" i="1"/>
  <c r="BT27" i="1"/>
  <c r="BT25" i="1"/>
  <c r="BT23" i="1"/>
  <c r="BT21" i="1"/>
  <c r="BT19" i="1"/>
  <c r="BT17" i="1"/>
  <c r="BT15" i="1"/>
  <c r="BT13" i="1"/>
  <c r="BT11" i="1"/>
  <c r="BT9" i="1"/>
  <c r="BS31" i="1"/>
  <c r="BS29" i="1"/>
  <c r="BS27" i="1"/>
  <c r="BS25" i="1"/>
  <c r="BS23" i="1"/>
  <c r="BS21" i="1"/>
  <c r="BS19" i="1"/>
  <c r="BS17" i="1"/>
  <c r="BS15" i="1"/>
  <c r="BS13" i="1"/>
  <c r="BS11" i="1"/>
  <c r="BS9" i="1"/>
  <c r="BR31" i="1"/>
  <c r="BR29" i="1"/>
  <c r="BR27" i="1"/>
  <c r="BR25" i="1"/>
  <c r="BR23" i="1"/>
  <c r="BR21" i="1"/>
  <c r="BR19" i="1"/>
  <c r="BR17" i="1"/>
  <c r="BR15" i="1"/>
  <c r="BR13" i="1"/>
  <c r="BR11" i="1"/>
  <c r="BR9" i="1"/>
  <c r="BQ31" i="1"/>
  <c r="BQ29" i="1"/>
  <c r="BQ27" i="1"/>
  <c r="BQ25" i="1"/>
  <c r="BQ23" i="1"/>
  <c r="BQ21" i="1"/>
  <c r="BQ19" i="1"/>
  <c r="BQ17" i="1"/>
  <c r="BQ15" i="1"/>
  <c r="BQ13" i="1"/>
  <c r="BQ11" i="1"/>
  <c r="BQ9" i="1"/>
  <c r="BP31" i="1"/>
  <c r="BP29" i="1"/>
  <c r="BP27" i="1"/>
  <c r="BP25" i="1"/>
  <c r="BP23" i="1"/>
  <c r="BP21" i="1"/>
  <c r="BP19" i="1"/>
  <c r="BP17" i="1"/>
  <c r="BP15" i="1"/>
  <c r="BP13" i="1"/>
  <c r="BP11" i="1"/>
  <c r="BP9" i="1"/>
  <c r="BO31" i="1"/>
  <c r="BO29" i="1"/>
  <c r="BO27" i="1"/>
  <c r="BO25" i="1"/>
  <c r="BO23" i="1"/>
  <c r="BO21" i="1"/>
  <c r="BO19" i="1"/>
  <c r="BO17" i="1"/>
  <c r="BO15" i="1"/>
  <c r="BO13" i="1"/>
  <c r="BO11" i="1"/>
  <c r="BO9" i="1"/>
  <c r="BN31" i="1"/>
  <c r="BN29" i="1"/>
  <c r="BN27" i="1"/>
  <c r="BN25" i="1"/>
  <c r="BN23" i="1"/>
  <c r="BN21" i="1"/>
  <c r="BN19" i="1"/>
  <c r="BN17" i="1"/>
  <c r="BN15" i="1"/>
  <c r="BN13" i="1"/>
  <c r="BN11" i="1"/>
  <c r="BN9" i="1"/>
  <c r="BM31" i="1"/>
  <c r="BM29" i="1"/>
  <c r="BM27" i="1"/>
  <c r="BM25" i="1"/>
  <c r="BM23" i="1"/>
  <c r="BM21" i="1"/>
  <c r="BM19" i="1"/>
  <c r="BM17" i="1"/>
  <c r="BM15" i="1"/>
  <c r="BM13" i="1"/>
  <c r="BM11" i="1"/>
  <c r="BM9" i="1"/>
  <c r="AM22" i="1"/>
  <c r="AM30" i="1"/>
  <c r="AZ31" i="1" s="1"/>
  <c r="AM28" i="1"/>
  <c r="AM26" i="1"/>
  <c r="AZ27" i="1"/>
  <c r="AM24" i="1"/>
  <c r="AM20" i="1"/>
  <c r="AM18" i="1"/>
  <c r="AM16" i="1"/>
  <c r="AM14" i="1"/>
  <c r="AM12" i="1"/>
  <c r="AM10" i="1"/>
  <c r="AM8" i="1"/>
  <c r="AN6" i="1"/>
  <c r="BA7" i="1" s="1"/>
  <c r="AO6" i="1"/>
  <c r="AP6" i="1"/>
  <c r="AP7" i="1" s="1"/>
  <c r="AQ6" i="1"/>
  <c r="BD7" i="1" s="1"/>
  <c r="AR6" i="1"/>
  <c r="AS6" i="1"/>
  <c r="AT6" i="1"/>
  <c r="AT7" i="1" s="1"/>
  <c r="AV6" i="1"/>
  <c r="AW6" i="1"/>
  <c r="AW7" i="1"/>
  <c r="AX6" i="1"/>
  <c r="AY6" i="1"/>
  <c r="AY7" i="1" s="1"/>
  <c r="AN4" i="1"/>
  <c r="AN5" i="1" s="1"/>
  <c r="AO4" i="1"/>
  <c r="AP4" i="1"/>
  <c r="AQ4" i="1"/>
  <c r="AQ5" i="1" s="1"/>
  <c r="AR4" i="1"/>
  <c r="AR5" i="1" s="1"/>
  <c r="AS4" i="1"/>
  <c r="AT4" i="1"/>
  <c r="BG5" i="1" s="1"/>
  <c r="AV4" i="1"/>
  <c r="AV5" i="1" s="1"/>
  <c r="AX4" i="1"/>
  <c r="AY4" i="1"/>
  <c r="AY5" i="1"/>
  <c r="BL31" i="1"/>
  <c r="BL29" i="1"/>
  <c r="BL27" i="1"/>
  <c r="BL25" i="1"/>
  <c r="BL23" i="1"/>
  <c r="BL21" i="1"/>
  <c r="BL19" i="1"/>
  <c r="BL17" i="1"/>
  <c r="BL15" i="1"/>
  <c r="BL13" i="1"/>
  <c r="BL11" i="1"/>
  <c r="BL9" i="1"/>
  <c r="BK31" i="1"/>
  <c r="BK29" i="1"/>
  <c r="BK27" i="1"/>
  <c r="BK25" i="1"/>
  <c r="BK23" i="1"/>
  <c r="BK21" i="1"/>
  <c r="BK19" i="1"/>
  <c r="BK17" i="1"/>
  <c r="BK15" i="1"/>
  <c r="BK13" i="1"/>
  <c r="BK11" i="1"/>
  <c r="BK9" i="1"/>
  <c r="BJ31" i="1"/>
  <c r="BJ29" i="1"/>
  <c r="BJ27" i="1"/>
  <c r="BJ25" i="1"/>
  <c r="BJ23" i="1"/>
  <c r="BJ21" i="1"/>
  <c r="BJ19" i="1"/>
  <c r="BJ17" i="1"/>
  <c r="BJ15" i="1"/>
  <c r="BJ13" i="1"/>
  <c r="BJ11" i="1"/>
  <c r="BJ9" i="1"/>
  <c r="BJ5" i="1"/>
  <c r="BI31" i="1"/>
  <c r="BI29" i="1"/>
  <c r="BI27" i="1"/>
  <c r="BI25" i="1"/>
  <c r="BI23" i="1"/>
  <c r="BI21" i="1"/>
  <c r="BI19" i="1"/>
  <c r="BI17" i="1"/>
  <c r="BI15" i="1"/>
  <c r="BI13" i="1"/>
  <c r="BI11" i="1"/>
  <c r="BI9" i="1"/>
  <c r="BH31" i="1"/>
  <c r="BH29" i="1"/>
  <c r="BH27" i="1"/>
  <c r="BH25" i="1"/>
  <c r="BH23" i="1"/>
  <c r="BH21" i="1"/>
  <c r="BH19" i="1"/>
  <c r="BH17" i="1"/>
  <c r="BH15" i="1"/>
  <c r="BH13" i="1"/>
  <c r="BH11" i="1"/>
  <c r="BH9" i="1"/>
  <c r="BG31" i="1"/>
  <c r="BG29" i="1"/>
  <c r="BG27" i="1"/>
  <c r="BG25" i="1"/>
  <c r="BG23" i="1"/>
  <c r="BG21" i="1"/>
  <c r="BG19" i="1"/>
  <c r="BG17" i="1"/>
  <c r="BG15" i="1"/>
  <c r="BG13" i="1"/>
  <c r="BG11" i="1"/>
  <c r="BG9" i="1"/>
  <c r="BF31" i="1"/>
  <c r="BF29" i="1"/>
  <c r="BF27" i="1"/>
  <c r="BF25" i="1"/>
  <c r="BF23" i="1"/>
  <c r="BF21" i="1"/>
  <c r="BF19" i="1"/>
  <c r="BF17" i="1"/>
  <c r="BF15" i="1"/>
  <c r="BF13" i="1"/>
  <c r="BF11" i="1"/>
  <c r="BF9" i="1"/>
  <c r="BE31" i="1"/>
  <c r="BE29" i="1"/>
  <c r="BE27" i="1"/>
  <c r="BE25" i="1"/>
  <c r="BE23" i="1"/>
  <c r="BE21" i="1"/>
  <c r="BE19" i="1"/>
  <c r="BE17" i="1"/>
  <c r="BE15" i="1"/>
  <c r="BE13" i="1"/>
  <c r="BE11" i="1"/>
  <c r="BE9" i="1"/>
  <c r="BD31" i="1"/>
  <c r="BD29" i="1"/>
  <c r="BD27" i="1"/>
  <c r="BD25" i="1"/>
  <c r="BD23" i="1"/>
  <c r="BD21" i="1"/>
  <c r="BD19" i="1"/>
  <c r="BD17" i="1"/>
  <c r="BD15" i="1"/>
  <c r="BD13" i="1"/>
  <c r="BD11" i="1"/>
  <c r="BD9" i="1"/>
  <c r="BC31" i="1"/>
  <c r="BB31" i="1"/>
  <c r="BA31" i="1"/>
  <c r="BC29" i="1"/>
  <c r="BB29" i="1"/>
  <c r="BA29" i="1"/>
  <c r="BC27" i="1"/>
  <c r="BB27" i="1"/>
  <c r="BA27" i="1"/>
  <c r="BC25" i="1"/>
  <c r="BB25" i="1"/>
  <c r="BA25" i="1"/>
  <c r="BC23" i="1"/>
  <c r="BB23" i="1"/>
  <c r="BA23" i="1"/>
  <c r="BC21" i="1"/>
  <c r="BB21" i="1"/>
  <c r="BA21" i="1"/>
  <c r="BC19" i="1"/>
  <c r="BB19" i="1"/>
  <c r="BA19" i="1"/>
  <c r="BC17" i="1"/>
  <c r="BB17" i="1"/>
  <c r="BA17" i="1"/>
  <c r="BC15" i="1"/>
  <c r="BB15" i="1"/>
  <c r="BA15" i="1"/>
  <c r="BC13" i="1"/>
  <c r="BB13" i="1"/>
  <c r="BA13" i="1"/>
  <c r="BC11" i="1"/>
  <c r="BB11" i="1"/>
  <c r="BA11" i="1"/>
  <c r="BC9" i="1"/>
  <c r="BB9" i="1"/>
  <c r="BA9" i="1"/>
  <c r="N30" i="1"/>
  <c r="N28" i="1"/>
  <c r="N26" i="1"/>
  <c r="N27" i="1" s="1"/>
  <c r="N24" i="1"/>
  <c r="N25" i="1" s="1"/>
  <c r="N22" i="1"/>
  <c r="N23" i="1" s="1"/>
  <c r="N20" i="1"/>
  <c r="AM21" i="1"/>
  <c r="N18" i="1"/>
  <c r="N19" i="1"/>
  <c r="N16" i="1"/>
  <c r="N14" i="1"/>
  <c r="N15" i="1" s="1"/>
  <c r="N12" i="1"/>
  <c r="AM13" i="1" s="1"/>
  <c r="N10" i="1"/>
  <c r="N11" i="1" s="1"/>
  <c r="N8" i="1"/>
  <c r="N9" i="1" s="1"/>
  <c r="N6" i="1"/>
  <c r="N4" i="1"/>
  <c r="N5" i="1" s="1"/>
  <c r="AY31" i="1"/>
  <c r="AX31" i="1"/>
  <c r="AW31" i="1"/>
  <c r="AV31" i="1"/>
  <c r="AU31" i="1"/>
  <c r="AT31" i="1"/>
  <c r="AS31" i="1"/>
  <c r="AR31" i="1"/>
  <c r="AQ31" i="1"/>
  <c r="AY29" i="1"/>
  <c r="AX29" i="1"/>
  <c r="AW29" i="1"/>
  <c r="AV29" i="1"/>
  <c r="AU29" i="1"/>
  <c r="AT29" i="1"/>
  <c r="AS29" i="1"/>
  <c r="AR29" i="1"/>
  <c r="AQ29" i="1"/>
  <c r="AY27" i="1"/>
  <c r="AX27" i="1"/>
  <c r="AW27" i="1"/>
  <c r="AV27" i="1"/>
  <c r="AU27" i="1"/>
  <c r="AT27" i="1"/>
  <c r="AS27" i="1"/>
  <c r="AR27" i="1"/>
  <c r="AQ27" i="1"/>
  <c r="AY25" i="1"/>
  <c r="AX25" i="1"/>
  <c r="AW25" i="1"/>
  <c r="AV25" i="1"/>
  <c r="AU25" i="1"/>
  <c r="AT25" i="1"/>
  <c r="AS25" i="1"/>
  <c r="AR25" i="1"/>
  <c r="AQ25" i="1"/>
  <c r="AY23" i="1"/>
  <c r="AX23" i="1"/>
  <c r="AW23" i="1"/>
  <c r="AV23" i="1"/>
  <c r="AU23" i="1"/>
  <c r="AT23" i="1"/>
  <c r="AS23" i="1"/>
  <c r="AR23" i="1"/>
  <c r="AQ23" i="1"/>
  <c r="AY21" i="1"/>
  <c r="AX21" i="1"/>
  <c r="AW21" i="1"/>
  <c r="AV21" i="1"/>
  <c r="AU21" i="1"/>
  <c r="AT21" i="1"/>
  <c r="AS21" i="1"/>
  <c r="AR21" i="1"/>
  <c r="AQ21" i="1"/>
  <c r="AY19" i="1"/>
  <c r="AX19" i="1"/>
  <c r="AW19" i="1"/>
  <c r="AV19" i="1"/>
  <c r="AU19" i="1"/>
  <c r="AT19" i="1"/>
  <c r="AS19" i="1"/>
  <c r="AR19" i="1"/>
  <c r="AQ19" i="1"/>
  <c r="AY17" i="1"/>
  <c r="AX17" i="1"/>
  <c r="AW17" i="1"/>
  <c r="AV17" i="1"/>
  <c r="AU17" i="1"/>
  <c r="AT17" i="1"/>
  <c r="AS17" i="1"/>
  <c r="AR17" i="1"/>
  <c r="AQ17" i="1"/>
  <c r="AY15" i="1"/>
  <c r="AX15" i="1"/>
  <c r="AW15" i="1"/>
  <c r="AV15" i="1"/>
  <c r="AU15" i="1"/>
  <c r="AT15" i="1"/>
  <c r="AS15" i="1"/>
  <c r="AR15" i="1"/>
  <c r="AQ15" i="1"/>
  <c r="AY13" i="1"/>
  <c r="AX13" i="1"/>
  <c r="AW13" i="1"/>
  <c r="AV13" i="1"/>
  <c r="AU13" i="1"/>
  <c r="AT13" i="1"/>
  <c r="AS13" i="1"/>
  <c r="AR13" i="1"/>
  <c r="AQ13" i="1"/>
  <c r="AY11" i="1"/>
  <c r="AX11" i="1"/>
  <c r="AW11" i="1"/>
  <c r="AV11" i="1"/>
  <c r="AU11" i="1"/>
  <c r="AT11" i="1"/>
  <c r="AS11" i="1"/>
  <c r="AR11" i="1"/>
  <c r="AQ11" i="1"/>
  <c r="AY9" i="1"/>
  <c r="AX9" i="1"/>
  <c r="AW9" i="1"/>
  <c r="AV9" i="1"/>
  <c r="AU9" i="1"/>
  <c r="AT9" i="1"/>
  <c r="AS9" i="1"/>
  <c r="AR9" i="1"/>
  <c r="AQ9" i="1"/>
  <c r="AX7" i="1"/>
  <c r="AV7" i="1"/>
  <c r="AU7" i="1"/>
  <c r="AR7" i="1"/>
  <c r="AW5" i="1"/>
  <c r="AU5" i="1"/>
  <c r="AT5" i="1"/>
  <c r="AS5" i="1"/>
  <c r="AO31" i="1"/>
  <c r="AO29" i="1"/>
  <c r="AO27" i="1"/>
  <c r="AO25" i="1"/>
  <c r="AO23" i="1"/>
  <c r="AO21" i="1"/>
  <c r="AO19" i="1"/>
  <c r="AO17" i="1"/>
  <c r="AO15" i="1"/>
  <c r="AO13" i="1"/>
  <c r="AO11" i="1"/>
  <c r="AO9" i="1"/>
  <c r="N31" i="1"/>
  <c r="M31" i="1"/>
  <c r="L31" i="1"/>
  <c r="AP31" i="1"/>
  <c r="AN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K31" i="1"/>
  <c r="J31" i="1"/>
  <c r="I31" i="1"/>
  <c r="H31" i="1"/>
  <c r="AP29" i="1"/>
  <c r="AN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M29" i="1"/>
  <c r="L29" i="1"/>
  <c r="K29" i="1"/>
  <c r="J29" i="1"/>
  <c r="I29" i="1"/>
  <c r="H29" i="1"/>
  <c r="AP27" i="1"/>
  <c r="AN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M27" i="1"/>
  <c r="L27" i="1"/>
  <c r="K27" i="1"/>
  <c r="J27" i="1"/>
  <c r="I27" i="1"/>
  <c r="H27" i="1"/>
  <c r="AP25" i="1"/>
  <c r="AN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M25" i="1"/>
  <c r="L25" i="1"/>
  <c r="K25" i="1"/>
  <c r="J25" i="1"/>
  <c r="I25" i="1"/>
  <c r="H25" i="1"/>
  <c r="AP23" i="1"/>
  <c r="AN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M23" i="1"/>
  <c r="L23" i="1"/>
  <c r="K23" i="1"/>
  <c r="J23" i="1"/>
  <c r="I23" i="1"/>
  <c r="H23" i="1"/>
  <c r="G23" i="1"/>
  <c r="F23" i="1"/>
  <c r="E23" i="1"/>
  <c r="D23" i="1"/>
  <c r="AP21" i="1"/>
  <c r="AN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M21" i="1"/>
  <c r="L21" i="1"/>
  <c r="K21" i="1"/>
  <c r="J21" i="1"/>
  <c r="I21" i="1"/>
  <c r="H21" i="1"/>
  <c r="G21" i="1"/>
  <c r="F21" i="1"/>
  <c r="E21" i="1"/>
  <c r="D21" i="1"/>
  <c r="AP19" i="1"/>
  <c r="AN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M19" i="1"/>
  <c r="L19" i="1"/>
  <c r="K19" i="1"/>
  <c r="J19" i="1"/>
  <c r="I19" i="1"/>
  <c r="H19" i="1"/>
  <c r="G19" i="1"/>
  <c r="F19" i="1"/>
  <c r="E19" i="1"/>
  <c r="D19" i="1"/>
  <c r="AP17" i="1"/>
  <c r="AN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M17" i="1"/>
  <c r="L17" i="1"/>
  <c r="K17" i="1"/>
  <c r="J17" i="1"/>
  <c r="I17" i="1"/>
  <c r="H17" i="1"/>
  <c r="G17" i="1"/>
  <c r="F17" i="1"/>
  <c r="E17" i="1"/>
  <c r="D17" i="1"/>
  <c r="AP15" i="1"/>
  <c r="AN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M15" i="1"/>
  <c r="L15" i="1"/>
  <c r="K15" i="1"/>
  <c r="J15" i="1"/>
  <c r="I15" i="1"/>
  <c r="H15" i="1"/>
  <c r="G15" i="1"/>
  <c r="F15" i="1"/>
  <c r="E15" i="1"/>
  <c r="D15" i="1"/>
  <c r="AP13" i="1"/>
  <c r="AN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M13" i="1"/>
  <c r="L13" i="1"/>
  <c r="K13" i="1"/>
  <c r="J13" i="1"/>
  <c r="I13" i="1"/>
  <c r="H13" i="1"/>
  <c r="G13" i="1"/>
  <c r="F13" i="1"/>
  <c r="E13" i="1"/>
  <c r="D13" i="1"/>
  <c r="AP11" i="1"/>
  <c r="AN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M11" i="1"/>
  <c r="L11" i="1"/>
  <c r="K11" i="1"/>
  <c r="J11" i="1"/>
  <c r="I11" i="1"/>
  <c r="H11" i="1"/>
  <c r="G11" i="1"/>
  <c r="F11" i="1"/>
  <c r="E11" i="1"/>
  <c r="D11" i="1"/>
  <c r="AP9" i="1"/>
  <c r="AN9" i="1"/>
  <c r="AL9" i="1"/>
  <c r="AK9" i="1"/>
  <c r="AJ9" i="1"/>
  <c r="AI9" i="1"/>
  <c r="AH9" i="1"/>
  <c r="AG9" i="1"/>
  <c r="AF9" i="1"/>
  <c r="AE9" i="1"/>
  <c r="AD9" i="1"/>
  <c r="AC9" i="1"/>
  <c r="AB9" i="1"/>
  <c r="AA9" i="1"/>
  <c r="M9" i="1"/>
  <c r="L9" i="1"/>
  <c r="K9" i="1"/>
  <c r="J9" i="1"/>
  <c r="I9" i="1"/>
  <c r="H9" i="1"/>
  <c r="G9" i="1"/>
  <c r="F9" i="1"/>
  <c r="E9" i="1"/>
  <c r="D9" i="1"/>
  <c r="AO7" i="1"/>
  <c r="AN7" i="1"/>
  <c r="AL7" i="1"/>
  <c r="AK7" i="1"/>
  <c r="AJ7" i="1"/>
  <c r="AI7" i="1"/>
  <c r="AH7" i="1"/>
  <c r="AG7" i="1"/>
  <c r="AF7" i="1"/>
  <c r="AE7" i="1"/>
  <c r="AD7" i="1"/>
  <c r="AC7" i="1"/>
  <c r="AB7" i="1"/>
  <c r="AA7" i="1"/>
  <c r="N7" i="1"/>
  <c r="M7" i="1"/>
  <c r="L7" i="1"/>
  <c r="K7" i="1"/>
  <c r="J7" i="1"/>
  <c r="I7" i="1"/>
  <c r="H7" i="1"/>
  <c r="G7" i="1"/>
  <c r="F7" i="1"/>
  <c r="E7" i="1"/>
  <c r="D7" i="1"/>
  <c r="AP5" i="1"/>
  <c r="AO5" i="1"/>
  <c r="AL5" i="1"/>
  <c r="AK5" i="1"/>
  <c r="AJ5" i="1"/>
  <c r="AI5" i="1"/>
  <c r="AH5" i="1"/>
  <c r="AG5" i="1"/>
  <c r="AF5" i="1"/>
  <c r="AE5" i="1"/>
  <c r="AD5" i="1"/>
  <c r="AC5" i="1"/>
  <c r="AB5" i="1"/>
  <c r="AA5" i="1"/>
  <c r="M5" i="1"/>
  <c r="L5" i="1"/>
  <c r="K5" i="1"/>
  <c r="J5" i="1"/>
  <c r="I5" i="1"/>
  <c r="H5" i="1"/>
  <c r="G5" i="1"/>
  <c r="F5" i="1"/>
  <c r="E5" i="1"/>
  <c r="D5" i="1"/>
  <c r="BS27" i="2"/>
  <c r="BS25" i="2"/>
  <c r="BS23" i="2"/>
  <c r="BS21" i="2"/>
  <c r="BS19" i="2"/>
  <c r="BS17" i="2"/>
  <c r="BS15" i="2"/>
  <c r="BS13" i="2"/>
  <c r="BS11" i="2"/>
  <c r="BS9" i="2"/>
  <c r="BS7" i="2"/>
  <c r="BS5" i="2"/>
  <c r="BR27" i="2"/>
  <c r="BR25" i="2"/>
  <c r="BR23" i="2"/>
  <c r="BR21" i="2"/>
  <c r="BR19" i="2"/>
  <c r="BR17" i="2"/>
  <c r="BR15" i="2"/>
  <c r="BR13" i="2"/>
  <c r="BR11" i="2"/>
  <c r="BR9" i="2"/>
  <c r="BR7" i="2"/>
  <c r="BR5" i="2"/>
  <c r="BQ27" i="2"/>
  <c r="BQ25" i="2"/>
  <c r="BQ23" i="2"/>
  <c r="BQ21" i="2"/>
  <c r="BQ19" i="2"/>
  <c r="BQ17" i="2"/>
  <c r="BQ15" i="2"/>
  <c r="BQ13" i="2"/>
  <c r="BQ11" i="2"/>
  <c r="BQ9" i="2"/>
  <c r="BQ7" i="2"/>
  <c r="BQ5" i="2"/>
  <c r="BP27" i="2"/>
  <c r="BP25" i="2"/>
  <c r="BP23" i="2"/>
  <c r="BP21" i="2"/>
  <c r="BP19" i="2"/>
  <c r="BP17" i="2"/>
  <c r="BP15" i="2"/>
  <c r="BP13" i="2"/>
  <c r="BP11" i="2"/>
  <c r="BP9" i="2"/>
  <c r="BP7" i="2"/>
  <c r="BP5" i="2"/>
  <c r="BO27" i="2"/>
  <c r="BO25" i="2"/>
  <c r="BO23" i="2"/>
  <c r="BO21" i="2"/>
  <c r="BO19" i="2"/>
  <c r="BO17" i="2"/>
  <c r="BO15" i="2"/>
  <c r="BO13" i="2"/>
  <c r="BO11" i="2"/>
  <c r="BO9" i="2"/>
  <c r="BO7" i="2"/>
  <c r="BO5" i="2"/>
  <c r="BN27" i="2"/>
  <c r="BN25" i="2"/>
  <c r="BN23" i="2"/>
  <c r="BN21" i="2"/>
  <c r="BN19" i="2"/>
  <c r="BN17" i="2"/>
  <c r="BN15" i="2"/>
  <c r="BN13" i="2"/>
  <c r="BN11" i="2"/>
  <c r="BN9" i="2"/>
  <c r="BN7" i="2"/>
  <c r="BN5" i="2"/>
  <c r="BM27" i="2"/>
  <c r="BM25" i="2"/>
  <c r="BM23" i="2"/>
  <c r="BM21" i="2"/>
  <c r="BM19" i="2"/>
  <c r="BM17" i="2"/>
  <c r="BM15" i="2"/>
  <c r="BM13" i="2"/>
  <c r="BM11" i="2"/>
  <c r="BM9" i="2"/>
  <c r="BM7" i="2"/>
  <c r="BM5" i="2"/>
  <c r="BL27" i="2"/>
  <c r="BL25" i="2"/>
  <c r="BL23" i="2"/>
  <c r="BL21" i="2"/>
  <c r="BL19" i="2"/>
  <c r="BL17" i="2"/>
  <c r="BL15" i="2"/>
  <c r="BL13" i="2"/>
  <c r="BL11" i="2"/>
  <c r="BL9" i="2"/>
  <c r="BL7" i="2"/>
  <c r="BL5" i="2"/>
  <c r="AM26" i="2"/>
  <c r="AM27" i="2" s="1"/>
  <c r="AM24" i="2"/>
  <c r="AM22" i="2"/>
  <c r="AM20" i="2"/>
  <c r="AM18" i="2"/>
  <c r="AZ19" i="2" s="1"/>
  <c r="AM16" i="2"/>
  <c r="AM14" i="2"/>
  <c r="AZ15" i="2"/>
  <c r="AM12" i="2"/>
  <c r="AM10" i="2"/>
  <c r="AZ11" i="2" s="1"/>
  <c r="AM8" i="2"/>
  <c r="AM6" i="2"/>
  <c r="AZ7" i="2" s="1"/>
  <c r="AM4" i="2"/>
  <c r="AM5" i="2" s="1"/>
  <c r="BK27" i="2"/>
  <c r="BK25" i="2"/>
  <c r="BK23" i="2"/>
  <c r="BK21" i="2"/>
  <c r="BK19" i="2"/>
  <c r="BK17" i="2"/>
  <c r="BK15" i="2"/>
  <c r="BK13" i="2"/>
  <c r="BK11" i="2"/>
  <c r="BK9" i="2"/>
  <c r="BK7" i="2"/>
  <c r="BK5" i="2"/>
  <c r="BJ27" i="2"/>
  <c r="BJ25" i="2"/>
  <c r="BJ23" i="2"/>
  <c r="BJ21" i="2"/>
  <c r="BJ19" i="2"/>
  <c r="BJ17" i="2"/>
  <c r="BJ15" i="2"/>
  <c r="BJ13" i="2"/>
  <c r="BJ11" i="2"/>
  <c r="BJ9" i="2"/>
  <c r="BJ7" i="2"/>
  <c r="BJ5" i="2"/>
  <c r="BI27" i="2"/>
  <c r="BI25" i="2"/>
  <c r="BI23" i="2"/>
  <c r="BI21" i="2"/>
  <c r="BI19" i="2"/>
  <c r="BI17" i="2"/>
  <c r="BI15" i="2"/>
  <c r="BI13" i="2"/>
  <c r="BI11" i="2"/>
  <c r="BI9" i="2"/>
  <c r="BI7" i="2"/>
  <c r="BI5" i="2"/>
  <c r="BH27" i="2"/>
  <c r="BH25" i="2"/>
  <c r="BH23" i="2"/>
  <c r="BH21" i="2"/>
  <c r="BH19" i="2"/>
  <c r="BH17" i="2"/>
  <c r="BH15" i="2"/>
  <c r="BH13" i="2"/>
  <c r="BH11" i="2"/>
  <c r="BH9" i="2"/>
  <c r="BH7" i="2"/>
  <c r="BH5" i="2"/>
  <c r="BG27" i="2"/>
  <c r="BG25" i="2"/>
  <c r="BG23" i="2"/>
  <c r="BG21" i="2"/>
  <c r="BG19" i="2"/>
  <c r="BG17" i="2"/>
  <c r="BG15" i="2"/>
  <c r="BG13" i="2"/>
  <c r="BG11" i="2"/>
  <c r="BG9" i="2"/>
  <c r="BG7" i="2"/>
  <c r="BG5" i="2"/>
  <c r="BF27" i="2"/>
  <c r="BF25" i="2"/>
  <c r="BF23" i="2"/>
  <c r="BF21" i="2"/>
  <c r="BF19" i="2"/>
  <c r="BF17" i="2"/>
  <c r="BF15" i="2"/>
  <c r="BF13" i="2"/>
  <c r="BF11" i="2"/>
  <c r="BF9" i="2"/>
  <c r="BF7" i="2"/>
  <c r="BF5" i="2"/>
  <c r="BE27" i="2"/>
  <c r="BE25" i="2"/>
  <c r="BE23" i="2"/>
  <c r="BE21" i="2"/>
  <c r="BE19" i="2"/>
  <c r="BE17" i="2"/>
  <c r="BE15" i="2"/>
  <c r="BE13" i="2"/>
  <c r="BE11" i="2"/>
  <c r="BE9" i="2"/>
  <c r="BE7" i="2"/>
  <c r="BE5" i="2"/>
  <c r="BD27" i="2"/>
  <c r="BD25" i="2"/>
  <c r="BD23" i="2"/>
  <c r="BD21" i="2"/>
  <c r="BD19" i="2"/>
  <c r="BD17" i="2"/>
  <c r="BD15" i="2"/>
  <c r="BD13" i="2"/>
  <c r="BD11" i="2"/>
  <c r="BD9" i="2"/>
  <c r="BD7" i="2"/>
  <c r="BD5" i="2"/>
  <c r="BC27" i="2"/>
  <c r="BB27" i="2"/>
  <c r="BA27" i="2"/>
  <c r="BC25" i="2"/>
  <c r="BB25" i="2"/>
  <c r="BA25" i="2"/>
  <c r="BC23" i="2"/>
  <c r="BB23" i="2"/>
  <c r="BA23" i="2"/>
  <c r="BC21" i="2"/>
  <c r="BB21" i="2"/>
  <c r="BA21" i="2"/>
  <c r="BC19" i="2"/>
  <c r="BB19" i="2"/>
  <c r="BA19" i="2"/>
  <c r="BC17" i="2"/>
  <c r="BB17" i="2"/>
  <c r="BA17" i="2"/>
  <c r="BC15" i="2"/>
  <c r="BB15" i="2"/>
  <c r="BA15" i="2"/>
  <c r="BC13" i="2"/>
  <c r="BB13" i="2"/>
  <c r="BA13" i="2"/>
  <c r="BC11" i="2"/>
  <c r="BB11" i="2"/>
  <c r="BA11" i="2"/>
  <c r="BC9" i="2"/>
  <c r="BB9" i="2"/>
  <c r="BA9" i="2"/>
  <c r="BC7" i="2"/>
  <c r="BB7" i="2"/>
  <c r="BA7" i="2"/>
  <c r="BC5" i="2"/>
  <c r="BB5" i="2"/>
  <c r="BA5" i="2"/>
  <c r="N26" i="2"/>
  <c r="N27" i="2" s="1"/>
  <c r="N24" i="2"/>
  <c r="N22" i="2"/>
  <c r="N23" i="2" s="1"/>
  <c r="N20" i="2"/>
  <c r="N21" i="2" s="1"/>
  <c r="N18" i="2"/>
  <c r="N16" i="2"/>
  <c r="N17" i="2" s="1"/>
  <c r="N14" i="2"/>
  <c r="N15" i="2" s="1"/>
  <c r="N12" i="2"/>
  <c r="N13" i="2" s="1"/>
  <c r="N10" i="2"/>
  <c r="N8" i="2"/>
  <c r="N9" i="2" s="1"/>
  <c r="N6" i="2"/>
  <c r="N7" i="2" s="1"/>
  <c r="N4" i="2"/>
  <c r="AY27" i="2"/>
  <c r="AX27" i="2"/>
  <c r="AW27" i="2"/>
  <c r="AV27" i="2"/>
  <c r="AU27" i="2"/>
  <c r="AT27" i="2"/>
  <c r="AS27" i="2"/>
  <c r="AR27" i="2"/>
  <c r="AQ27" i="2"/>
  <c r="AY25" i="2"/>
  <c r="AX25" i="2"/>
  <c r="AW25" i="2"/>
  <c r="AV25" i="2"/>
  <c r="AU25" i="2"/>
  <c r="AT25" i="2"/>
  <c r="AS25" i="2"/>
  <c r="AR25" i="2"/>
  <c r="AQ25" i="2"/>
  <c r="AY23" i="2"/>
  <c r="AX23" i="2"/>
  <c r="AW23" i="2"/>
  <c r="AV23" i="2"/>
  <c r="AU23" i="2"/>
  <c r="AT23" i="2"/>
  <c r="AS23" i="2"/>
  <c r="AR23" i="2"/>
  <c r="AQ23" i="2"/>
  <c r="AY21" i="2"/>
  <c r="AX21" i="2"/>
  <c r="AW21" i="2"/>
  <c r="AV21" i="2"/>
  <c r="AU21" i="2"/>
  <c r="AT21" i="2"/>
  <c r="AS21" i="2"/>
  <c r="AR21" i="2"/>
  <c r="AQ21" i="2"/>
  <c r="AY19" i="2"/>
  <c r="AX19" i="2"/>
  <c r="AW19" i="2"/>
  <c r="AV19" i="2"/>
  <c r="AU19" i="2"/>
  <c r="AT19" i="2"/>
  <c r="AS19" i="2"/>
  <c r="AR19" i="2"/>
  <c r="AQ19" i="2"/>
  <c r="AY17" i="2"/>
  <c r="AX17" i="2"/>
  <c r="AW17" i="2"/>
  <c r="AV17" i="2"/>
  <c r="AU17" i="2"/>
  <c r="AT17" i="2"/>
  <c r="AS17" i="2"/>
  <c r="AR17" i="2"/>
  <c r="AQ17" i="2"/>
  <c r="AY15" i="2"/>
  <c r="AX15" i="2"/>
  <c r="AW15" i="2"/>
  <c r="AV15" i="2"/>
  <c r="AU15" i="2"/>
  <c r="AT15" i="2"/>
  <c r="AS15" i="2"/>
  <c r="AR15" i="2"/>
  <c r="AQ15" i="2"/>
  <c r="AY13" i="2"/>
  <c r="AX13" i="2"/>
  <c r="AW13" i="2"/>
  <c r="AV13" i="2"/>
  <c r="AU13" i="2"/>
  <c r="AT13" i="2"/>
  <c r="AS13" i="2"/>
  <c r="AR13" i="2"/>
  <c r="AQ13" i="2"/>
  <c r="AY11" i="2"/>
  <c r="AX11" i="2"/>
  <c r="AW11" i="2"/>
  <c r="AV11" i="2"/>
  <c r="AU11" i="2"/>
  <c r="AT11" i="2"/>
  <c r="AS11" i="2"/>
  <c r="AR11" i="2"/>
  <c r="AQ11" i="2"/>
  <c r="AY9" i="2"/>
  <c r="AX9" i="2"/>
  <c r="AW9" i="2"/>
  <c r="AV9" i="2"/>
  <c r="AU9" i="2"/>
  <c r="AT9" i="2"/>
  <c r="AS9" i="2"/>
  <c r="AR9" i="2"/>
  <c r="AQ9" i="2"/>
  <c r="AY7" i="2"/>
  <c r="AX7" i="2"/>
  <c r="AW7" i="2"/>
  <c r="AV7" i="2"/>
  <c r="AU7" i="2"/>
  <c r="AT7" i="2"/>
  <c r="AS7" i="2"/>
  <c r="AR7" i="2"/>
  <c r="AQ7" i="2"/>
  <c r="AY5" i="2"/>
  <c r="AX5" i="2"/>
  <c r="AW5" i="2"/>
  <c r="AV5" i="2"/>
  <c r="AU5" i="2"/>
  <c r="AT5" i="2"/>
  <c r="AS5" i="2"/>
  <c r="AR5" i="2"/>
  <c r="AQ5" i="2"/>
  <c r="N25" i="2"/>
  <c r="N19" i="2"/>
  <c r="AP27" i="2"/>
  <c r="AO27" i="2"/>
  <c r="AN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M27" i="2"/>
  <c r="L27" i="2"/>
  <c r="K27" i="2"/>
  <c r="J27" i="2"/>
  <c r="I27" i="2"/>
  <c r="H27" i="2"/>
  <c r="G27" i="2"/>
  <c r="F27" i="2"/>
  <c r="E27" i="2"/>
  <c r="D27" i="2"/>
  <c r="AP25" i="2"/>
  <c r="AO25" i="2"/>
  <c r="AN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M25" i="2"/>
  <c r="L25" i="2"/>
  <c r="K25" i="2"/>
  <c r="J25" i="2"/>
  <c r="I25" i="2"/>
  <c r="H25" i="2"/>
  <c r="G25" i="2"/>
  <c r="F25" i="2"/>
  <c r="E25" i="2"/>
  <c r="D25" i="2"/>
  <c r="AP23" i="2"/>
  <c r="AO23" i="2"/>
  <c r="AN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M23" i="2"/>
  <c r="L23" i="2"/>
  <c r="K23" i="2"/>
  <c r="J23" i="2"/>
  <c r="I23" i="2"/>
  <c r="H23" i="2"/>
  <c r="G23" i="2"/>
  <c r="F23" i="2"/>
  <c r="E23" i="2"/>
  <c r="D23" i="2"/>
  <c r="AP21" i="2"/>
  <c r="AO21" i="2"/>
  <c r="AN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M21" i="2"/>
  <c r="L21" i="2"/>
  <c r="K21" i="2"/>
  <c r="J21" i="2"/>
  <c r="I21" i="2"/>
  <c r="H21" i="2"/>
  <c r="G21" i="2"/>
  <c r="F21" i="2"/>
  <c r="E21" i="2"/>
  <c r="D21" i="2"/>
  <c r="AP19" i="2"/>
  <c r="AO19" i="2"/>
  <c r="AN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M19" i="2"/>
  <c r="L19" i="2"/>
  <c r="K19" i="2"/>
  <c r="J19" i="2"/>
  <c r="I19" i="2"/>
  <c r="H19" i="2"/>
  <c r="G19" i="2"/>
  <c r="F19" i="2"/>
  <c r="E19" i="2"/>
  <c r="D19" i="2"/>
  <c r="AP17" i="2"/>
  <c r="AO17" i="2"/>
  <c r="AN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M17" i="2"/>
  <c r="L17" i="2"/>
  <c r="K17" i="2"/>
  <c r="J17" i="2"/>
  <c r="I17" i="2"/>
  <c r="H17" i="2"/>
  <c r="G17" i="2"/>
  <c r="F17" i="2"/>
  <c r="E17" i="2"/>
  <c r="D17" i="2"/>
  <c r="AP15" i="2"/>
  <c r="AO15" i="2"/>
  <c r="AN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M15" i="2"/>
  <c r="L15" i="2"/>
  <c r="K15" i="2"/>
  <c r="J15" i="2"/>
  <c r="I15" i="2"/>
  <c r="H15" i="2"/>
  <c r="G15" i="2"/>
  <c r="F15" i="2"/>
  <c r="E15" i="2"/>
  <c r="D15" i="2"/>
  <c r="AP13" i="2"/>
  <c r="AO13" i="2"/>
  <c r="AN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M13" i="2"/>
  <c r="L13" i="2"/>
  <c r="K13" i="2"/>
  <c r="J13" i="2"/>
  <c r="I13" i="2"/>
  <c r="H13" i="2"/>
  <c r="G13" i="2"/>
  <c r="F13" i="2"/>
  <c r="E13" i="2"/>
  <c r="D13" i="2"/>
  <c r="AP11" i="2"/>
  <c r="AO11" i="2"/>
  <c r="AN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M11" i="2"/>
  <c r="L11" i="2"/>
  <c r="K11" i="2"/>
  <c r="J11" i="2"/>
  <c r="I11" i="2"/>
  <c r="H11" i="2"/>
  <c r="G11" i="2"/>
  <c r="F11" i="2"/>
  <c r="E11" i="2"/>
  <c r="D11" i="2"/>
  <c r="AP9" i="2"/>
  <c r="AO9" i="2"/>
  <c r="AN9" i="2"/>
  <c r="AL9" i="2"/>
  <c r="AK9" i="2"/>
  <c r="AJ9" i="2"/>
  <c r="AI9" i="2"/>
  <c r="AH9" i="2"/>
  <c r="AG9" i="2"/>
  <c r="AF9" i="2"/>
  <c r="AE9" i="2"/>
  <c r="AD9" i="2"/>
  <c r="AC9" i="2"/>
  <c r="AB9" i="2"/>
  <c r="AA9" i="2"/>
  <c r="M9" i="2"/>
  <c r="L9" i="2"/>
  <c r="K9" i="2"/>
  <c r="J9" i="2"/>
  <c r="I9" i="2"/>
  <c r="H9" i="2"/>
  <c r="G9" i="2"/>
  <c r="F9" i="2"/>
  <c r="E9" i="2"/>
  <c r="D9" i="2"/>
  <c r="AP7" i="2"/>
  <c r="AO7" i="2"/>
  <c r="AN7" i="2"/>
  <c r="AL7" i="2"/>
  <c r="AK7" i="2"/>
  <c r="AJ7" i="2"/>
  <c r="AI7" i="2"/>
  <c r="AH7" i="2"/>
  <c r="AG7" i="2"/>
  <c r="AF7" i="2"/>
  <c r="AE7" i="2"/>
  <c r="AD7" i="2"/>
  <c r="AC7" i="2"/>
  <c r="AB7" i="2"/>
  <c r="AA7" i="2"/>
  <c r="M7" i="2"/>
  <c r="L7" i="2"/>
  <c r="K7" i="2"/>
  <c r="J7" i="2"/>
  <c r="I7" i="2"/>
  <c r="H7" i="2"/>
  <c r="G7" i="2"/>
  <c r="F7" i="2"/>
  <c r="E7" i="2"/>
  <c r="D7" i="2"/>
  <c r="AP5" i="2"/>
  <c r="AO5" i="2"/>
  <c r="AN5" i="2"/>
  <c r="AL5" i="2"/>
  <c r="AK5" i="2"/>
  <c r="AJ5" i="2"/>
  <c r="AI5" i="2"/>
  <c r="AH5" i="2"/>
  <c r="AG5" i="2"/>
  <c r="AF5" i="2"/>
  <c r="AE5" i="2"/>
  <c r="AD5" i="2"/>
  <c r="AC5" i="2"/>
  <c r="AB5" i="2"/>
  <c r="AA5" i="2"/>
  <c r="N5" i="2"/>
  <c r="M5" i="2"/>
  <c r="L5" i="2"/>
  <c r="K5" i="2"/>
  <c r="J5" i="2"/>
  <c r="I5" i="2"/>
  <c r="H5" i="2"/>
  <c r="G5" i="2"/>
  <c r="F5" i="2"/>
  <c r="E5" i="2"/>
  <c r="D5" i="2"/>
  <c r="BS15" i="4"/>
  <c r="BS13" i="4"/>
  <c r="BS11" i="4"/>
  <c r="BS9" i="4"/>
  <c r="BS7" i="4"/>
  <c r="BS4" i="4"/>
  <c r="CF5" i="4" s="1"/>
  <c r="BG4" i="4"/>
  <c r="BR15" i="4"/>
  <c r="BR13" i="4"/>
  <c r="BR11" i="4"/>
  <c r="BR9" i="4"/>
  <c r="BR7" i="4"/>
  <c r="BR4" i="4"/>
  <c r="BF4" i="4"/>
  <c r="BQ15" i="4"/>
  <c r="BQ13" i="4"/>
  <c r="BQ11" i="4"/>
  <c r="BQ9" i="4"/>
  <c r="BQ7" i="4"/>
  <c r="BQ4" i="4"/>
  <c r="BE4" i="4"/>
  <c r="BP15" i="4"/>
  <c r="BP13" i="4"/>
  <c r="BP11" i="4"/>
  <c r="BP9" i="4"/>
  <c r="BP7" i="4"/>
  <c r="BP4" i="4"/>
  <c r="BD4" i="4"/>
  <c r="BO15" i="4"/>
  <c r="BO13" i="4"/>
  <c r="BO11" i="4"/>
  <c r="BO9" i="4"/>
  <c r="BO7" i="4"/>
  <c r="BO4" i="4"/>
  <c r="BC4" i="4"/>
  <c r="BN15" i="4"/>
  <c r="BN13" i="4"/>
  <c r="BN11" i="4"/>
  <c r="BN9" i="4"/>
  <c r="BN7" i="4"/>
  <c r="BN4" i="4"/>
  <c r="BB4" i="4"/>
  <c r="BM15" i="4"/>
  <c r="BM13" i="4"/>
  <c r="BM11" i="4"/>
  <c r="BM9" i="4"/>
  <c r="BM7" i="4"/>
  <c r="BM4" i="4"/>
  <c r="BZ5" i="4" s="1"/>
  <c r="BA4" i="4"/>
  <c r="AZ14" i="4"/>
  <c r="BY15" i="4" s="1"/>
  <c r="AM14" i="4"/>
  <c r="AZ12" i="4"/>
  <c r="AM12" i="4"/>
  <c r="AZ10" i="4"/>
  <c r="BY11" i="4" s="1"/>
  <c r="AM10" i="4"/>
  <c r="AZ8" i="4"/>
  <c r="AM8" i="4"/>
  <c r="AZ6" i="4"/>
  <c r="AZ7" i="4" s="1"/>
  <c r="AM6" i="4"/>
  <c r="BH4" i="4"/>
  <c r="BT5" i="4" s="1"/>
  <c r="BI4" i="4"/>
  <c r="BU5" i="4" s="1"/>
  <c r="BJ4" i="4"/>
  <c r="BK4" i="4"/>
  <c r="BW5" i="4" s="1"/>
  <c r="BL4" i="4"/>
  <c r="BX5" i="4" s="1"/>
  <c r="AN4" i="4"/>
  <c r="AO4" i="4"/>
  <c r="BB5" i="4" s="1"/>
  <c r="AP4" i="4"/>
  <c r="AP5" i="4" s="1"/>
  <c r="AQ4" i="4"/>
  <c r="BD5" i="4" s="1"/>
  <c r="AR4" i="4"/>
  <c r="AR5" i="4" s="1"/>
  <c r="AS4" i="4"/>
  <c r="AS5" i="4" s="1"/>
  <c r="AT4" i="4"/>
  <c r="AT5" i="4" s="1"/>
  <c r="AV4" i="4"/>
  <c r="AV5" i="4" s="1"/>
  <c r="AW4" i="4"/>
  <c r="AX4" i="4"/>
  <c r="AX5" i="4" s="1"/>
  <c r="AY4" i="4"/>
  <c r="AY5" i="4" s="1"/>
  <c r="BL15" i="4"/>
  <c r="BL13" i="4"/>
  <c r="BL11" i="4"/>
  <c r="BL9" i="4"/>
  <c r="BL7" i="4"/>
  <c r="BK15" i="4"/>
  <c r="BK13" i="4"/>
  <c r="BK11" i="4"/>
  <c r="BK9" i="4"/>
  <c r="BK7" i="4"/>
  <c r="BK5" i="4"/>
  <c r="BJ15" i="4"/>
  <c r="BJ13" i="4"/>
  <c r="BJ11" i="4"/>
  <c r="BJ9" i="4"/>
  <c r="BJ7" i="4"/>
  <c r="BI15" i="4"/>
  <c r="BI13" i="4"/>
  <c r="BI11" i="4"/>
  <c r="BI9" i="4"/>
  <c r="BI7" i="4"/>
  <c r="BH15" i="4"/>
  <c r="BH13" i="4"/>
  <c r="BH11" i="4"/>
  <c r="BH9" i="4"/>
  <c r="BH7" i="4"/>
  <c r="BH5" i="4"/>
  <c r="BG15" i="4"/>
  <c r="BG13" i="4"/>
  <c r="BG11" i="4"/>
  <c r="BG9" i="4"/>
  <c r="BG7" i="4"/>
  <c r="BF15" i="4"/>
  <c r="BF13" i="4"/>
  <c r="BF11" i="4"/>
  <c r="BF9" i="4"/>
  <c r="BF7" i="4"/>
  <c r="BE15" i="4"/>
  <c r="BE13" i="4"/>
  <c r="BE11" i="4"/>
  <c r="BE9" i="4"/>
  <c r="BE7" i="4"/>
  <c r="BD15" i="4"/>
  <c r="BD13" i="4"/>
  <c r="BD11" i="4"/>
  <c r="BD9" i="4"/>
  <c r="BD7" i="4"/>
  <c r="BC15" i="4"/>
  <c r="BB15" i="4"/>
  <c r="BA15" i="4"/>
  <c r="BC13" i="4"/>
  <c r="BB13" i="4"/>
  <c r="BA13" i="4"/>
  <c r="BC11" i="4"/>
  <c r="BB11" i="4"/>
  <c r="BA11" i="4"/>
  <c r="BC9" i="4"/>
  <c r="BB9" i="4"/>
  <c r="BA9" i="4"/>
  <c r="BC7" i="4"/>
  <c r="BB7" i="4"/>
  <c r="BA7" i="4"/>
  <c r="N14" i="4"/>
  <c r="N15" i="4" s="1"/>
  <c r="N12" i="4"/>
  <c r="N13" i="4" s="1"/>
  <c r="N10" i="4"/>
  <c r="AM11" i="4" s="1"/>
  <c r="N8" i="4"/>
  <c r="N9" i="4" s="1"/>
  <c r="N6" i="4"/>
  <c r="N7" i="4" s="1"/>
  <c r="N4" i="4"/>
  <c r="AY15" i="4"/>
  <c r="AX15" i="4"/>
  <c r="AW15" i="4"/>
  <c r="AV15" i="4"/>
  <c r="AU15" i="4"/>
  <c r="AT15" i="4"/>
  <c r="AS15" i="4"/>
  <c r="AR15" i="4"/>
  <c r="AQ15" i="4"/>
  <c r="AY13" i="4"/>
  <c r="AX13" i="4"/>
  <c r="AW13" i="4"/>
  <c r="AV13" i="4"/>
  <c r="AU13" i="4"/>
  <c r="AT13" i="4"/>
  <c r="AS13" i="4"/>
  <c r="AR13" i="4"/>
  <c r="AQ13" i="4"/>
  <c r="AY11" i="4"/>
  <c r="AX11" i="4"/>
  <c r="AW11" i="4"/>
  <c r="AV11" i="4"/>
  <c r="AU11" i="4"/>
  <c r="AT11" i="4"/>
  <c r="AS11" i="4"/>
  <c r="AR11" i="4"/>
  <c r="AQ11" i="4"/>
  <c r="AY9" i="4"/>
  <c r="AX9" i="4"/>
  <c r="AW9" i="4"/>
  <c r="AV9" i="4"/>
  <c r="AU9" i="4"/>
  <c r="AT9" i="4"/>
  <c r="AS9" i="4"/>
  <c r="AR9" i="4"/>
  <c r="AQ9" i="4"/>
  <c r="AY7" i="4"/>
  <c r="AX7" i="4"/>
  <c r="AW7" i="4"/>
  <c r="AV7" i="4"/>
  <c r="AU7" i="4"/>
  <c r="AT7" i="4"/>
  <c r="AS7" i="4"/>
  <c r="AR7" i="4"/>
  <c r="AQ7" i="4"/>
  <c r="AU5" i="4"/>
  <c r="AP15" i="4"/>
  <c r="AO15" i="4"/>
  <c r="AN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AP13" i="4"/>
  <c r="AO13" i="4"/>
  <c r="AN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AP11" i="4"/>
  <c r="AO11" i="4"/>
  <c r="AN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AP9" i="4"/>
  <c r="AO9" i="4"/>
  <c r="AN9" i="4"/>
  <c r="AL9" i="4"/>
  <c r="AK9" i="4"/>
  <c r="AJ9" i="4"/>
  <c r="AI9" i="4"/>
  <c r="AH9" i="4"/>
  <c r="AG9" i="4"/>
  <c r="AF9" i="4"/>
  <c r="AE9" i="4"/>
  <c r="AD9" i="4"/>
  <c r="AC9" i="4"/>
  <c r="AB9" i="4"/>
  <c r="AA9" i="4"/>
  <c r="AP7" i="4"/>
  <c r="AO7" i="4"/>
  <c r="AN7" i="4"/>
  <c r="AL7" i="4"/>
  <c r="AK7" i="4"/>
  <c r="AJ7" i="4"/>
  <c r="AI7" i="4"/>
  <c r="AH7" i="4"/>
  <c r="AG7" i="4"/>
  <c r="AF7" i="4"/>
  <c r="AE7" i="4"/>
  <c r="AD7" i="4"/>
  <c r="AC7" i="4"/>
  <c r="AB7" i="4"/>
  <c r="AA7" i="4"/>
  <c r="AL5" i="4"/>
  <c r="AK5" i="4"/>
  <c r="AJ5" i="4"/>
  <c r="AI5" i="4"/>
  <c r="AH5" i="4"/>
  <c r="AG5" i="4"/>
  <c r="AF5" i="4"/>
  <c r="AE5" i="4"/>
  <c r="AD5" i="4"/>
  <c r="AC5" i="4"/>
  <c r="AB5" i="4"/>
  <c r="M15" i="4"/>
  <c r="L15" i="4"/>
  <c r="K15" i="4"/>
  <c r="J15" i="4"/>
  <c r="I15" i="4"/>
  <c r="H15" i="4"/>
  <c r="G15" i="4"/>
  <c r="F15" i="4"/>
  <c r="E15" i="4"/>
  <c r="D15" i="4"/>
  <c r="M13" i="4"/>
  <c r="L13" i="4"/>
  <c r="K13" i="4"/>
  <c r="J13" i="4"/>
  <c r="I13" i="4"/>
  <c r="H13" i="4"/>
  <c r="G13" i="4"/>
  <c r="F13" i="4"/>
  <c r="E13" i="4"/>
  <c r="D13" i="4"/>
  <c r="M11" i="4"/>
  <c r="L11" i="4"/>
  <c r="K11" i="4"/>
  <c r="J11" i="4"/>
  <c r="I11" i="4"/>
  <c r="H11" i="4"/>
  <c r="G11" i="4"/>
  <c r="F11" i="4"/>
  <c r="E11" i="4"/>
  <c r="D11" i="4"/>
  <c r="M9" i="4"/>
  <c r="L9" i="4"/>
  <c r="K9" i="4"/>
  <c r="J9" i="4"/>
  <c r="I9" i="4"/>
  <c r="H9" i="4"/>
  <c r="G9" i="4"/>
  <c r="F9" i="4"/>
  <c r="E9" i="4"/>
  <c r="D9" i="4"/>
  <c r="M7" i="4"/>
  <c r="L7" i="4"/>
  <c r="K7" i="4"/>
  <c r="J7" i="4"/>
  <c r="I7" i="4"/>
  <c r="H7" i="4"/>
  <c r="G7" i="4"/>
  <c r="F7" i="4"/>
  <c r="E7" i="4"/>
  <c r="D7" i="4"/>
  <c r="AA5" i="4"/>
  <c r="N5" i="4"/>
  <c r="M5" i="4"/>
  <c r="L5" i="4"/>
  <c r="K5" i="4"/>
  <c r="J5" i="4"/>
  <c r="I5" i="4"/>
  <c r="H5" i="4"/>
  <c r="G5" i="4"/>
  <c r="F5" i="4"/>
  <c r="E5" i="4"/>
  <c r="D5" i="4"/>
  <c r="BS7" i="3"/>
  <c r="BS5" i="3"/>
  <c r="BR7" i="3"/>
  <c r="BR5" i="3"/>
  <c r="BQ7" i="3"/>
  <c r="BQ5" i="3"/>
  <c r="BP7" i="3"/>
  <c r="BP5" i="3"/>
  <c r="BO7" i="3"/>
  <c r="BO5" i="3"/>
  <c r="BN7" i="3"/>
  <c r="BN5" i="3"/>
  <c r="BM7" i="3"/>
  <c r="BM5" i="3"/>
  <c r="AZ6" i="3"/>
  <c r="BY7" i="3"/>
  <c r="AM6" i="3"/>
  <c r="AZ4" i="3"/>
  <c r="BY5" i="3"/>
  <c r="AM4" i="3"/>
  <c r="BL7" i="3"/>
  <c r="BL5" i="3"/>
  <c r="BK7" i="3"/>
  <c r="BK5" i="3"/>
  <c r="BJ7" i="3"/>
  <c r="BJ5" i="3"/>
  <c r="BI7" i="3"/>
  <c r="BI5" i="3"/>
  <c r="BH7" i="3"/>
  <c r="BH5" i="3"/>
  <c r="BG7" i="3"/>
  <c r="BG5" i="3"/>
  <c r="BF7" i="3"/>
  <c r="BF5" i="3"/>
  <c r="BE7" i="3"/>
  <c r="BE5" i="3"/>
  <c r="BD7" i="3"/>
  <c r="BD5" i="3"/>
  <c r="BC7" i="3"/>
  <c r="BB7" i="3"/>
  <c r="BA7" i="3"/>
  <c r="BC5" i="3"/>
  <c r="BB5" i="3"/>
  <c r="BA5" i="3"/>
  <c r="N6" i="3"/>
  <c r="N4" i="3"/>
  <c r="AY7" i="3"/>
  <c r="AX7" i="3"/>
  <c r="AW7" i="3"/>
  <c r="AV7" i="3"/>
  <c r="AU7" i="3"/>
  <c r="AT7" i="3"/>
  <c r="AS7" i="3"/>
  <c r="AR7" i="3"/>
  <c r="AQ7" i="3"/>
  <c r="AY5" i="3"/>
  <c r="AX5" i="3"/>
  <c r="AW5" i="3"/>
  <c r="AV5" i="3"/>
  <c r="AU5" i="3"/>
  <c r="AT5" i="3"/>
  <c r="AS5" i="3"/>
  <c r="AR5" i="3"/>
  <c r="AQ5" i="3"/>
  <c r="AP7" i="3"/>
  <c r="AO7" i="3"/>
  <c r="AN7" i="3"/>
  <c r="AL7" i="3"/>
  <c r="AK7" i="3"/>
  <c r="AJ7" i="3"/>
  <c r="AI7" i="3"/>
  <c r="AH7" i="3"/>
  <c r="AG7" i="3"/>
  <c r="AF7" i="3"/>
  <c r="AE7" i="3"/>
  <c r="AD7" i="3"/>
  <c r="AC7" i="3"/>
  <c r="AB7" i="3"/>
  <c r="AA7" i="3"/>
  <c r="N7" i="3"/>
  <c r="M7" i="3"/>
  <c r="L7" i="3"/>
  <c r="K7" i="3"/>
  <c r="J7" i="3"/>
  <c r="I7" i="3"/>
  <c r="H7" i="3"/>
  <c r="G7" i="3"/>
  <c r="F7" i="3"/>
  <c r="E7" i="3"/>
  <c r="D7" i="3"/>
  <c r="AP5" i="3"/>
  <c r="AO5" i="3"/>
  <c r="AN5" i="3"/>
  <c r="AL5" i="3"/>
  <c r="AK5" i="3"/>
  <c r="AJ5" i="3"/>
  <c r="AI5" i="3"/>
  <c r="AH5" i="3"/>
  <c r="AG5" i="3"/>
  <c r="AF5" i="3"/>
  <c r="AE5" i="3"/>
  <c r="AD5" i="3"/>
  <c r="AC5" i="3"/>
  <c r="AB5" i="3"/>
  <c r="AA5" i="3"/>
  <c r="M5" i="3"/>
  <c r="L5" i="3"/>
  <c r="K5" i="3"/>
  <c r="J5" i="3"/>
  <c r="I5" i="3"/>
  <c r="H5" i="3"/>
  <c r="G5" i="3"/>
  <c r="F5" i="3"/>
  <c r="E5" i="3"/>
  <c r="D5" i="3"/>
  <c r="AZ5" i="3"/>
  <c r="AN5" i="4"/>
  <c r="BB5" i="1"/>
  <c r="AZ29" i="1"/>
  <c r="BN5" i="1"/>
  <c r="BZ7" i="1"/>
  <c r="CB5" i="1"/>
  <c r="CB7" i="1"/>
  <c r="CD7" i="1"/>
  <c r="CG5" i="4"/>
  <c r="CJ5" i="1"/>
  <c r="CM5" i="1"/>
  <c r="CM7" i="1"/>
  <c r="CM5" i="4"/>
  <c r="CR7" i="1"/>
  <c r="CT7" i="1"/>
  <c r="CT5" i="1"/>
  <c r="CW5" i="4"/>
  <c r="CX7" i="1"/>
  <c r="CX5" i="1"/>
  <c r="DC7" i="1"/>
  <c r="DC5" i="1"/>
  <c r="DE5" i="1"/>
  <c r="DI5" i="1"/>
  <c r="DI7" i="1"/>
  <c r="DL4" i="1"/>
  <c r="DM5" i="4"/>
  <c r="DN5" i="1"/>
  <c r="CL9" i="1"/>
  <c r="CL13" i="1"/>
  <c r="CL17" i="1"/>
  <c r="CL21" i="1"/>
  <c r="CL25" i="1"/>
  <c r="CL29" i="1"/>
  <c r="FK7" i="1"/>
  <c r="FL4" i="1"/>
  <c r="EL7" i="2"/>
  <c r="FL9" i="2"/>
  <c r="FL13" i="2"/>
  <c r="FL17" i="2"/>
  <c r="FL21" i="2"/>
  <c r="FL25" i="2"/>
  <c r="CY11" i="4"/>
  <c r="DN5" i="4"/>
  <c r="DY11" i="4"/>
  <c r="DZ5" i="4"/>
  <c r="EK5" i="4"/>
  <c r="EZ5" i="4"/>
  <c r="FH5" i="4"/>
  <c r="BS5" i="1"/>
  <c r="BO5" i="1"/>
  <c r="BY4" i="1"/>
  <c r="BW7" i="1"/>
  <c r="AX5" i="1"/>
  <c r="AM29" i="1"/>
  <c r="BD5" i="1"/>
  <c r="BF7" i="1"/>
  <c r="BK7" i="1"/>
  <c r="BY25" i="1"/>
  <c r="BY27" i="1"/>
  <c r="CF5" i="1"/>
  <c r="AS7" i="1"/>
  <c r="BH5" i="1"/>
  <c r="BE5" i="1"/>
  <c r="BG7" i="1"/>
  <c r="BE7" i="1"/>
  <c r="BC7" i="1"/>
  <c r="AM11" i="1"/>
  <c r="AM19" i="1"/>
  <c r="BJ7" i="1"/>
  <c r="CU5" i="1"/>
  <c r="CI7" i="1"/>
  <c r="CI5" i="1"/>
  <c r="CW5" i="1"/>
  <c r="CK5" i="1"/>
  <c r="CZ7" i="1"/>
  <c r="DL9" i="1"/>
  <c r="DL13" i="1"/>
  <c r="DL17" i="1"/>
  <c r="DL21" i="1"/>
  <c r="DL25" i="1"/>
  <c r="DL29" i="1"/>
  <c r="DM5" i="1"/>
  <c r="DO7" i="1"/>
  <c r="DU7" i="1"/>
  <c r="DX5" i="1"/>
  <c r="EC7" i="1"/>
  <c r="EJ7" i="1"/>
  <c r="EL27" i="1"/>
  <c r="EL31" i="1"/>
  <c r="EO5" i="1"/>
  <c r="EQ7" i="1"/>
  <c r="ET7" i="1"/>
  <c r="EV7" i="1"/>
  <c r="EY4" i="1"/>
  <c r="FL5" i="1" s="1"/>
  <c r="FY6" i="1"/>
  <c r="N13" i="1"/>
  <c r="N17" i="1"/>
  <c r="N21" i="1"/>
  <c r="N29" i="1"/>
  <c r="AM27" i="1"/>
  <c r="BI5" i="1"/>
  <c r="AM4" i="1"/>
  <c r="AM5" i="1" s="1"/>
  <c r="BV7" i="1"/>
  <c r="BL7" i="1"/>
  <c r="BY23" i="1"/>
  <c r="BY31" i="1"/>
  <c r="CG7" i="1"/>
  <c r="CK7" i="1"/>
  <c r="CP5" i="1"/>
  <c r="CR5" i="1"/>
  <c r="CY11" i="1"/>
  <c r="CY27" i="1"/>
  <c r="DY4" i="1"/>
  <c r="DQ7" i="1"/>
  <c r="DZ7" i="1"/>
  <c r="EE5" i="1"/>
  <c r="EK5" i="1"/>
  <c r="EN7" i="1"/>
  <c r="ER5" i="1"/>
  <c r="FL6" i="1"/>
  <c r="FL7" i="1" s="1"/>
  <c r="FA7" i="1"/>
  <c r="FE7" i="1"/>
  <c r="FG7" i="1"/>
  <c r="FI7" i="1"/>
  <c r="FN5" i="1"/>
  <c r="FP5" i="1"/>
  <c r="FR5" i="1"/>
  <c r="FS5" i="1"/>
  <c r="FT5" i="1"/>
  <c r="FV5" i="1"/>
  <c r="FZ7" i="1"/>
  <c r="GA5" i="1"/>
  <c r="GC5" i="1"/>
  <c r="GE5" i="1"/>
  <c r="AM6" i="1"/>
  <c r="AM7" i="1" s="1"/>
  <c r="BY6" i="1"/>
  <c r="CP7" i="1"/>
  <c r="DQ5" i="1"/>
  <c r="EE7" i="1"/>
  <c r="EN5" i="1"/>
  <c r="ER7" i="1"/>
  <c r="EX5" i="1"/>
  <c r="EZ5" i="1"/>
  <c r="FA5" i="1"/>
  <c r="FE5" i="1"/>
  <c r="FG5" i="1"/>
  <c r="FI5" i="1"/>
  <c r="FK5" i="1"/>
  <c r="FN7" i="1"/>
  <c r="FP7" i="1"/>
  <c r="FR7" i="1"/>
  <c r="FS7" i="1"/>
  <c r="FT7" i="1"/>
  <c r="FV7" i="1"/>
  <c r="FX7" i="1"/>
  <c r="GA7" i="1"/>
  <c r="GC7" i="1"/>
  <c r="GE7" i="1"/>
  <c r="FY7" i="1"/>
  <c r="BC5" i="1"/>
  <c r="BL5" i="1"/>
  <c r="AZ9" i="1"/>
  <c r="AZ11" i="1"/>
  <c r="AZ13" i="1"/>
  <c r="AZ17" i="1"/>
  <c r="AZ19" i="1"/>
  <c r="AZ21" i="1"/>
  <c r="AZ23" i="1"/>
  <c r="BX7" i="1"/>
  <c r="BP5" i="1"/>
  <c r="CN5" i="1"/>
  <c r="CS7" i="1"/>
  <c r="CS5" i="1"/>
  <c r="CY9" i="1"/>
  <c r="CL11" i="1"/>
  <c r="CL15" i="1"/>
  <c r="CL19" i="1"/>
  <c r="CL23" i="1"/>
  <c r="CY25" i="1"/>
  <c r="CL27" i="1"/>
  <c r="CL31" i="1"/>
  <c r="DB5" i="1"/>
  <c r="DS5" i="1"/>
  <c r="DW7" i="1"/>
  <c r="DW5" i="1"/>
  <c r="ED7" i="1"/>
  <c r="EG7" i="1"/>
  <c r="EG5" i="1"/>
  <c r="EI7" i="1"/>
  <c r="EI5" i="1"/>
  <c r="EL9" i="1"/>
  <c r="EL11" i="1"/>
  <c r="EL13" i="1"/>
  <c r="EL15" i="1"/>
  <c r="EL17" i="1"/>
  <c r="EL19" i="1"/>
  <c r="EL21" i="1"/>
  <c r="EM7" i="1"/>
  <c r="ES5" i="1"/>
  <c r="ES7" i="1"/>
  <c r="EU5" i="1"/>
  <c r="EU7" i="1"/>
  <c r="EL23" i="1"/>
  <c r="EW5" i="1"/>
  <c r="EW7" i="1"/>
  <c r="EY31" i="1"/>
  <c r="EZ7" i="1"/>
  <c r="FM5" i="1"/>
  <c r="FM7" i="1"/>
  <c r="GF7" i="1"/>
  <c r="GF5" i="1"/>
  <c r="CL9" i="2"/>
  <c r="CL13" i="2"/>
  <c r="EY5" i="3"/>
  <c r="GI5" i="4"/>
  <c r="GL6" i="1"/>
  <c r="GU5" i="1"/>
  <c r="GU7" i="1"/>
  <c r="GY4" i="1"/>
  <c r="HA5" i="1"/>
  <c r="HA7" i="1"/>
  <c r="HC5" i="1"/>
  <c r="HC7" i="1"/>
  <c r="HD5" i="4"/>
  <c r="HD5" i="1"/>
  <c r="HD7" i="1"/>
  <c r="HE5" i="1"/>
  <c r="HF5" i="1"/>
  <c r="HF7" i="1"/>
  <c r="HG7" i="1"/>
  <c r="HH5" i="4"/>
  <c r="HH5" i="1"/>
  <c r="HH7" i="1"/>
  <c r="HI5" i="1"/>
  <c r="HJ5" i="1"/>
  <c r="HJ7" i="1"/>
  <c r="HM5" i="1"/>
  <c r="HM7" i="1"/>
  <c r="HY4" i="4"/>
  <c r="FF5" i="4" l="1"/>
  <c r="BJ5" i="4"/>
  <c r="DL7" i="4"/>
  <c r="DL15" i="4"/>
  <c r="EG5" i="4"/>
  <c r="FD5" i="4"/>
  <c r="FL9" i="4"/>
  <c r="FX5" i="4"/>
  <c r="FY4" i="4"/>
  <c r="DY9" i="4"/>
  <c r="BY7" i="4"/>
  <c r="BY13" i="4"/>
  <c r="DY4" i="4"/>
  <c r="GJ5" i="4"/>
  <c r="EA5" i="4"/>
  <c r="GY4" i="4"/>
  <c r="HA5" i="4"/>
  <c r="HE5" i="4"/>
  <c r="HG5" i="4"/>
  <c r="AM13" i="4"/>
  <c r="FL7" i="4"/>
  <c r="EL4" i="4"/>
  <c r="EL5" i="4" s="1"/>
  <c r="EI5" i="4"/>
  <c r="ES5" i="4"/>
  <c r="FY9" i="4"/>
  <c r="DL7" i="2"/>
  <c r="EL5" i="2"/>
  <c r="AM19" i="2"/>
  <c r="AZ23" i="2"/>
  <c r="CY19" i="2"/>
  <c r="DL23" i="2"/>
  <c r="CY27" i="2"/>
  <c r="AM7" i="2"/>
  <c r="CL23" i="2"/>
  <c r="GL13" i="2"/>
  <c r="GL21" i="2"/>
  <c r="HY15" i="2"/>
  <c r="HY23" i="2"/>
  <c r="GF5" i="4"/>
  <c r="DO5" i="4"/>
  <c r="AZ9" i="4"/>
  <c r="CT5" i="4"/>
  <c r="CI5" i="4"/>
  <c r="DS5" i="4"/>
  <c r="FW5" i="4"/>
  <c r="HY13" i="4"/>
  <c r="EP5" i="4"/>
  <c r="DY15" i="4"/>
  <c r="DY7" i="4"/>
  <c r="N11" i="4"/>
  <c r="AZ13" i="4"/>
  <c r="EM5" i="4"/>
  <c r="EU5" i="4"/>
  <c r="GD5" i="4"/>
  <c r="GL11" i="4"/>
  <c r="GL15" i="4"/>
  <c r="GT5" i="4"/>
  <c r="HL13" i="4"/>
  <c r="HC5" i="4"/>
  <c r="GL4" i="4"/>
  <c r="GL5" i="4" s="1"/>
  <c r="AZ11" i="4"/>
  <c r="BS5" i="4"/>
  <c r="CL7" i="4"/>
  <c r="CL15" i="4"/>
  <c r="FN5" i="4"/>
  <c r="FT5" i="4"/>
  <c r="GH5" i="4"/>
  <c r="GY9" i="4"/>
  <c r="HY9" i="4"/>
  <c r="DQ5" i="4"/>
  <c r="CK5" i="4"/>
  <c r="CO5" i="4"/>
  <c r="DC5" i="4"/>
  <c r="DU5" i="4"/>
  <c r="BM5" i="4"/>
  <c r="BE5" i="4"/>
  <c r="CS5" i="4"/>
  <c r="EH5" i="4"/>
  <c r="FU5" i="4"/>
  <c r="EJ5" i="4"/>
  <c r="FP5" i="4"/>
  <c r="GK5" i="4"/>
  <c r="HN5" i="4"/>
  <c r="GY5" i="4"/>
  <c r="DY5" i="1"/>
  <c r="AM7" i="4"/>
  <c r="BL5" i="4"/>
  <c r="BO5" i="4"/>
  <c r="CB5" i="4"/>
  <c r="BF5" i="4"/>
  <c r="BY4" i="4"/>
  <c r="BQ5" i="4"/>
  <c r="CD5" i="4"/>
  <c r="GL7" i="1"/>
  <c r="AW5" i="4"/>
  <c r="AM15" i="4"/>
  <c r="BP5" i="4"/>
  <c r="CC5" i="4"/>
  <c r="CV5" i="4"/>
  <c r="DL27" i="2"/>
  <c r="DL9" i="2"/>
  <c r="DL15" i="2"/>
  <c r="DY7" i="2"/>
  <c r="EL13" i="4"/>
  <c r="EL21" i="2"/>
  <c r="EQ5" i="4"/>
  <c r="EV5" i="4"/>
  <c r="EY11" i="2"/>
  <c r="EY19" i="2"/>
  <c r="EY23" i="2"/>
  <c r="EY15" i="4"/>
  <c r="FM5" i="4"/>
  <c r="FR5" i="4"/>
  <c r="GY15" i="4"/>
  <c r="HY9" i="2"/>
  <c r="IL9" i="2"/>
  <c r="AM11" i="2"/>
  <c r="AM25" i="2"/>
  <c r="BV5" i="4"/>
  <c r="BY9" i="4"/>
  <c r="CE5" i="4"/>
  <c r="CY13" i="4"/>
  <c r="DB5" i="4"/>
  <c r="DL9" i="4"/>
  <c r="DL25" i="2"/>
  <c r="DY17" i="2"/>
  <c r="FG5" i="4"/>
  <c r="FY13" i="4"/>
  <c r="FY27" i="2"/>
  <c r="GM5" i="4"/>
  <c r="GX5" i="4"/>
  <c r="GY9" i="2"/>
  <c r="HY25" i="2"/>
  <c r="IL25" i="2"/>
  <c r="AM9" i="2"/>
  <c r="CL4" i="4"/>
  <c r="CL5" i="4" s="1"/>
  <c r="CQ5" i="4"/>
  <c r="CY5" i="2"/>
  <c r="CY11" i="2"/>
  <c r="DL11" i="4"/>
  <c r="DL19" i="2"/>
  <c r="DR5" i="4"/>
  <c r="DY11" i="2"/>
  <c r="DY23" i="2"/>
  <c r="FY9" i="2"/>
  <c r="GL25" i="2"/>
  <c r="GY7" i="4"/>
  <c r="HL11" i="4"/>
  <c r="HR5" i="4"/>
  <c r="HT5" i="4"/>
  <c r="HV5" i="4"/>
  <c r="IL5" i="2"/>
  <c r="HY5" i="2"/>
  <c r="HY13" i="2"/>
  <c r="IL13" i="2"/>
  <c r="AM9" i="4"/>
  <c r="AQ7" i="1"/>
  <c r="AZ17" i="2"/>
  <c r="CQ5" i="1"/>
  <c r="DI5" i="4"/>
  <c r="BY7" i="2"/>
  <c r="DY15" i="2"/>
  <c r="DY5" i="2"/>
  <c r="DY13" i="2"/>
  <c r="EL9" i="2"/>
  <c r="EL15" i="2"/>
  <c r="EY21" i="2"/>
  <c r="EY4" i="4"/>
  <c r="EY5" i="4" s="1"/>
  <c r="FL15" i="4"/>
  <c r="FY17" i="2"/>
  <c r="FY25" i="2"/>
  <c r="GG5" i="4"/>
  <c r="GY5" i="2"/>
  <c r="GY13" i="2"/>
  <c r="HB5" i="4"/>
  <c r="IL7" i="2"/>
  <c r="HY7" i="2"/>
  <c r="AM15" i="1"/>
  <c r="AM17" i="1"/>
  <c r="AM25" i="1"/>
  <c r="AM23" i="1"/>
  <c r="BI7" i="1"/>
  <c r="AZ15" i="1"/>
  <c r="BY29" i="1"/>
  <c r="CL4" i="1"/>
  <c r="CL5" i="1" s="1"/>
  <c r="CL6" i="1"/>
  <c r="CL7" i="1" s="1"/>
  <c r="BX5" i="1"/>
  <c r="BU5" i="1"/>
  <c r="BQ5" i="1"/>
  <c r="BM5" i="1"/>
  <c r="CH7" i="1"/>
  <c r="BT7" i="1"/>
  <c r="BQ7" i="1"/>
  <c r="BO7" i="1"/>
  <c r="BM7" i="1"/>
  <c r="BY9" i="1"/>
  <c r="BY15" i="1"/>
  <c r="BY17" i="1"/>
  <c r="CY6" i="1"/>
  <c r="CO7" i="1"/>
  <c r="CU7" i="1"/>
  <c r="CV7" i="1"/>
  <c r="CY15" i="1"/>
  <c r="CY19" i="1"/>
  <c r="CY21" i="1"/>
  <c r="CY31" i="1"/>
  <c r="DF7" i="1"/>
  <c r="DJ5" i="1"/>
  <c r="DL11" i="1"/>
  <c r="DL23" i="1"/>
  <c r="DY6" i="1"/>
  <c r="DT5" i="1"/>
  <c r="DY11" i="1"/>
  <c r="DZ5" i="1"/>
  <c r="EB5" i="1"/>
  <c r="EC5" i="1"/>
  <c r="ET5" i="1"/>
  <c r="FC7" i="1"/>
  <c r="FF7" i="1"/>
  <c r="FJ5" i="1"/>
  <c r="FY5" i="1"/>
  <c r="FY13" i="1"/>
  <c r="FY17" i="1"/>
  <c r="FY25" i="1"/>
  <c r="GB5" i="1"/>
  <c r="GH5" i="1"/>
  <c r="GI5" i="1"/>
  <c r="GI7" i="1"/>
  <c r="GJ5" i="1"/>
  <c r="GL13" i="1"/>
  <c r="GM5" i="1"/>
  <c r="GP7" i="1"/>
  <c r="GR7" i="1"/>
  <c r="GS7" i="1"/>
  <c r="GT5" i="1"/>
  <c r="GV7" i="1"/>
  <c r="GX5" i="1"/>
  <c r="GY11" i="1"/>
  <c r="GY13" i="1"/>
  <c r="GY19" i="1"/>
  <c r="GY27" i="1"/>
  <c r="GY29" i="1"/>
  <c r="HL4" i="1"/>
  <c r="HK5" i="1"/>
  <c r="HL13" i="1"/>
  <c r="HL21" i="1"/>
  <c r="HL29" i="1"/>
  <c r="HO5" i="1"/>
  <c r="IB5" i="1"/>
  <c r="HP5" i="1"/>
  <c r="IC5" i="1"/>
  <c r="HR5" i="1"/>
  <c r="IE5" i="1"/>
  <c r="HT5" i="1"/>
  <c r="IG5" i="1"/>
  <c r="HU7" i="1"/>
  <c r="HV5" i="1"/>
  <c r="II5" i="1"/>
  <c r="AM7" i="3"/>
  <c r="CY7" i="3"/>
  <c r="EL5" i="3"/>
  <c r="HL7" i="3"/>
  <c r="IL29" i="1"/>
  <c r="IY29" i="1"/>
  <c r="IL25" i="1"/>
  <c r="IY25" i="1"/>
  <c r="IL21" i="1"/>
  <c r="IY21" i="1"/>
  <c r="IL17" i="1"/>
  <c r="IY17" i="1"/>
  <c r="IL13" i="1"/>
  <c r="IY13" i="1"/>
  <c r="IL9" i="1"/>
  <c r="IY9" i="1"/>
  <c r="IK5" i="1"/>
  <c r="IL4" i="1"/>
  <c r="HY11" i="2"/>
  <c r="CY7" i="1"/>
  <c r="CH5" i="4"/>
  <c r="CW7" i="1"/>
  <c r="CY13" i="2"/>
  <c r="DL13" i="2"/>
  <c r="DL4" i="4"/>
  <c r="DJ5" i="4"/>
  <c r="FI5" i="4"/>
  <c r="FV5" i="4"/>
  <c r="HY7" i="3"/>
  <c r="AZ4" i="4"/>
  <c r="DB7" i="1"/>
  <c r="FZ5" i="1"/>
  <c r="AZ4" i="1"/>
  <c r="CF7" i="1"/>
  <c r="DL6" i="1"/>
  <c r="DL7" i="1" s="1"/>
  <c r="BZ5" i="1"/>
  <c r="BG5" i="4"/>
  <c r="BI5" i="4"/>
  <c r="BN5" i="4"/>
  <c r="AM13" i="2"/>
  <c r="AM9" i="1"/>
  <c r="BA5" i="1"/>
  <c r="BU7" i="1"/>
  <c r="AZ5" i="2"/>
  <c r="CN5" i="4"/>
  <c r="CY5" i="3"/>
  <c r="DL19" i="1"/>
  <c r="DV7" i="1"/>
  <c r="DW5" i="4"/>
  <c r="EL11" i="4"/>
  <c r="DY19" i="1"/>
  <c r="DY31" i="1"/>
  <c r="EL11" i="2"/>
  <c r="GE5" i="4"/>
  <c r="GP5" i="4"/>
  <c r="GV5" i="4"/>
  <c r="GW5" i="1"/>
  <c r="HY13" i="1"/>
  <c r="HY21" i="1"/>
  <c r="HY29" i="1"/>
  <c r="HY11" i="4"/>
  <c r="DE5" i="4"/>
  <c r="CR5" i="4"/>
  <c r="FY11" i="4"/>
  <c r="FL11" i="4"/>
  <c r="GO5" i="1"/>
  <c r="HL5" i="1"/>
  <c r="HX5" i="1"/>
  <c r="EL4" i="1"/>
  <c r="EL5" i="1" s="1"/>
  <c r="CE5" i="1"/>
  <c r="FX5" i="1"/>
  <c r="FL5" i="2"/>
  <c r="HJ5" i="4"/>
  <c r="HG5" i="1"/>
  <c r="DS7" i="1"/>
  <c r="CN7" i="1"/>
  <c r="DA7" i="1"/>
  <c r="AM31" i="1"/>
  <c r="BF5" i="1"/>
  <c r="BR5" i="4"/>
  <c r="AM5" i="3"/>
  <c r="AZ7" i="3"/>
  <c r="AO5" i="4"/>
  <c r="BA5" i="4"/>
  <c r="AZ15" i="4"/>
  <c r="N11" i="2"/>
  <c r="AZ27" i="2"/>
  <c r="BK5" i="1"/>
  <c r="DD5" i="4"/>
  <c r="DL5" i="2"/>
  <c r="EC5" i="4"/>
  <c r="DP5" i="4"/>
  <c r="EY7" i="4"/>
  <c r="FL15" i="1"/>
  <c r="EY15" i="1"/>
  <c r="FL27" i="1"/>
  <c r="EY27" i="1"/>
  <c r="HL4" i="4"/>
  <c r="GZ5" i="4"/>
  <c r="HK5" i="4"/>
  <c r="HY6" i="1"/>
  <c r="CY9" i="4"/>
  <c r="FE5" i="4"/>
  <c r="ER5" i="4"/>
  <c r="CY4" i="4"/>
  <c r="CY5" i="4" s="1"/>
  <c r="AZ25" i="1"/>
  <c r="GY6" i="1"/>
  <c r="GY7" i="1" s="1"/>
  <c r="GL4" i="1"/>
  <c r="GL5" i="1" s="1"/>
  <c r="ED5" i="1"/>
  <c r="EK7" i="1"/>
  <c r="AZ6" i="1"/>
  <c r="EL6" i="1"/>
  <c r="HI7" i="1"/>
  <c r="HE7" i="1"/>
  <c r="AM4" i="4"/>
  <c r="AM5" i="4" s="1"/>
  <c r="BB7" i="1"/>
  <c r="FL4" i="4"/>
  <c r="FL5" i="4" s="1"/>
  <c r="CY4" i="1"/>
  <c r="CU5" i="4"/>
  <c r="CD5" i="1"/>
  <c r="AQ5" i="4"/>
  <c r="BC5" i="4"/>
  <c r="CA5" i="4"/>
  <c r="AM23" i="2"/>
  <c r="AM15" i="2"/>
  <c r="AM21" i="2"/>
  <c r="AZ9" i="2"/>
  <c r="AZ21" i="2"/>
  <c r="CL7" i="2"/>
  <c r="CL7" i="3"/>
  <c r="DY27" i="1"/>
  <c r="DL27" i="1"/>
  <c r="DL21" i="2"/>
  <c r="DP5" i="1"/>
  <c r="EH5" i="1"/>
  <c r="DU5" i="1"/>
  <c r="DY19" i="2"/>
  <c r="DY15" i="1"/>
  <c r="DY23" i="1"/>
  <c r="EF7" i="1"/>
  <c r="EM5" i="1"/>
  <c r="EL25" i="2"/>
  <c r="EY25" i="2"/>
  <c r="FH5" i="1"/>
  <c r="GO5" i="4"/>
  <c r="GB5" i="4"/>
  <c r="GL13" i="4"/>
  <c r="BY15" i="2"/>
  <c r="DL7" i="3"/>
  <c r="EY15" i="2"/>
  <c r="EY27" i="2"/>
  <c r="FQ5" i="4"/>
  <c r="FY7" i="4"/>
  <c r="GL9" i="2"/>
  <c r="GY25" i="2"/>
  <c r="HY4" i="1"/>
  <c r="HY5" i="1" s="1"/>
  <c r="HW5" i="1"/>
  <c r="CY9" i="2"/>
  <c r="CY17" i="2"/>
  <c r="CY25" i="2"/>
  <c r="DY9" i="2"/>
  <c r="DY25" i="2"/>
  <c r="EO5" i="4"/>
  <c r="EY19" i="1"/>
  <c r="FY7" i="3"/>
  <c r="FO5" i="4"/>
  <c r="FQ5" i="1"/>
  <c r="FW7" i="1"/>
  <c r="GG5" i="1"/>
  <c r="GL7" i="3"/>
  <c r="GY11" i="2"/>
  <c r="GL9" i="4"/>
  <c r="GL9" i="1"/>
  <c r="GL17" i="1"/>
  <c r="GL25" i="1"/>
  <c r="GN5" i="1"/>
  <c r="HL6" i="1"/>
  <c r="HL7" i="4"/>
  <c r="HL15" i="4"/>
  <c r="HL11" i="2"/>
  <c r="HS5" i="1"/>
  <c r="HX5" i="4"/>
  <c r="AM17" i="2"/>
  <c r="AZ13" i="2"/>
  <c r="AZ25" i="2"/>
  <c r="CY7" i="2"/>
  <c r="CY15" i="2"/>
  <c r="CY23" i="2"/>
  <c r="DY5" i="3"/>
  <c r="DY21" i="2"/>
  <c r="EL27" i="2"/>
  <c r="EY7" i="2"/>
  <c r="EL17" i="2"/>
  <c r="FB5" i="1"/>
  <c r="FU7" i="1"/>
  <c r="FH7" i="1"/>
  <c r="FO5" i="1"/>
  <c r="FZ5" i="4"/>
  <c r="FY15" i="4"/>
  <c r="FY15" i="2"/>
  <c r="GD7" i="1"/>
  <c r="GY15" i="1"/>
  <c r="GY31" i="1"/>
  <c r="GR5" i="1"/>
  <c r="GR5" i="4"/>
  <c r="GT7" i="1"/>
  <c r="GV5" i="1"/>
  <c r="GY21" i="2"/>
  <c r="HB5" i="1"/>
  <c r="HL11" i="1"/>
  <c r="HL19" i="1"/>
  <c r="HL27" i="1"/>
  <c r="HQ5" i="1"/>
  <c r="HU5" i="1"/>
  <c r="HY5" i="3"/>
  <c r="HY21" i="2"/>
  <c r="EL13" i="2"/>
  <c r="GL5" i="2"/>
  <c r="GL7" i="2"/>
  <c r="GL15" i="2"/>
  <c r="GL23" i="2"/>
  <c r="GY17" i="2"/>
  <c r="HL5" i="3"/>
  <c r="HL9" i="2"/>
  <c r="HL17" i="2"/>
  <c r="HL25" i="2"/>
  <c r="HY17" i="2"/>
  <c r="FY5" i="3"/>
  <c r="GY5" i="3"/>
  <c r="N5" i="3"/>
  <c r="FL27" i="2"/>
  <c r="FL19" i="2"/>
  <c r="FL11" i="2"/>
  <c r="BY5" i="2"/>
  <c r="BY9" i="2"/>
  <c r="BY13" i="2"/>
  <c r="BY17" i="2"/>
  <c r="BY21" i="2"/>
  <c r="BY25" i="2"/>
  <c r="CL15" i="2"/>
  <c r="GL11" i="2"/>
  <c r="GL19" i="2"/>
  <c r="GL27" i="2"/>
  <c r="GY7" i="2"/>
  <c r="GY15" i="2"/>
  <c r="GY23" i="2"/>
  <c r="HL5" i="2"/>
  <c r="HL13" i="2"/>
  <c r="HL21" i="2"/>
  <c r="HL7" i="2"/>
  <c r="HL15" i="2"/>
  <c r="HL23" i="2"/>
  <c r="FL23" i="2"/>
  <c r="FL15" i="2"/>
  <c r="HL5" i="4" l="1"/>
  <c r="FY5" i="4"/>
  <c r="HY7" i="1"/>
  <c r="DY7" i="1"/>
  <c r="GY5" i="1"/>
  <c r="IL5" i="1"/>
  <c r="IY5" i="1"/>
  <c r="IL4" i="4"/>
  <c r="IY5" i="4" s="1"/>
  <c r="IL6" i="1"/>
  <c r="HL7" i="1"/>
  <c r="AZ5" i="4"/>
  <c r="BY5" i="4"/>
  <c r="HY5" i="4"/>
  <c r="AZ7" i="1"/>
  <c r="BY7" i="1"/>
  <c r="DL5" i="1"/>
  <c r="CY5" i="1"/>
  <c r="EY7" i="1"/>
  <c r="EL7" i="1"/>
  <c r="EY5" i="1"/>
  <c r="AZ5" i="1"/>
  <c r="BY5" i="1"/>
  <c r="DL5" i="4"/>
  <c r="DY5" i="4"/>
  <c r="IY7" i="1" l="1"/>
</calcChain>
</file>

<file path=xl/sharedStrings.xml><?xml version="1.0" encoding="utf-8"?>
<sst xmlns="http://schemas.openxmlformats.org/spreadsheetml/2006/main" count="1200" uniqueCount="451">
  <si>
    <t>＜表＞</t>
  </si>
  <si>
    <t>上段（金　額　・　数　量）</t>
  </si>
  <si>
    <t>　</t>
  </si>
  <si>
    <t>下段（前年比・前年同月比）</t>
  </si>
  <si>
    <t>単 位</t>
  </si>
  <si>
    <t>元年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</si>
  <si>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</si>
  <si>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</si>
  <si>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</si>
  <si>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</si>
  <si>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</si>
  <si>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</si>
  <si>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</si>
  <si>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</si>
  <si>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</si>
  <si>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</si>
  <si>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12年</t>
  </si>
  <si>
    <t>11年1月</t>
  </si>
  <si>
    <t>11年2月</t>
  </si>
  <si>
    <t>11年3月</t>
  </si>
  <si>
    <t>11年4月</t>
  </si>
  <si>
    <t>11年5月</t>
  </si>
  <si>
    <t>11年6月</t>
  </si>
  <si>
    <t>11年7月</t>
  </si>
  <si>
    <t>11年8月</t>
  </si>
  <si>
    <t>11年9月</t>
  </si>
  <si>
    <t>11年10月</t>
  </si>
  <si>
    <t>11年11月</t>
  </si>
  <si>
    <t>11年12月</t>
  </si>
  <si>
    <t>12年1月</t>
  </si>
  <si>
    <t>12年2月</t>
  </si>
  <si>
    <t>12年3月</t>
  </si>
  <si>
    <t>12年4月</t>
  </si>
  <si>
    <t>13年1月</t>
  </si>
  <si>
    <t>原材料別消費量・金額</t>
    <rPh sb="0" eb="3">
      <t>ゲンザイリョウ</t>
    </rPh>
    <rPh sb="3" eb="4">
      <t>ベツ</t>
    </rPh>
    <rPh sb="4" eb="7">
      <t>ショウヒリョウ</t>
    </rPh>
    <rPh sb="8" eb="10">
      <t>キンガク</t>
    </rPh>
    <phoneticPr fontId="2"/>
  </si>
  <si>
    <t>金額(百万円)</t>
    <rPh sb="0" eb="2">
      <t>キンガク</t>
    </rPh>
    <rPh sb="3" eb="4">
      <t>ヒャク</t>
    </rPh>
    <rPh sb="4" eb="6">
      <t>マンエン</t>
    </rPh>
    <phoneticPr fontId="2"/>
  </si>
  <si>
    <t>平成２年</t>
    <rPh sb="0" eb="2">
      <t>ヘイセイ</t>
    </rPh>
    <rPh sb="3" eb="4">
      <t>ガンネン</t>
    </rPh>
    <phoneticPr fontId="2"/>
  </si>
  <si>
    <t>平成元年</t>
    <rPh sb="0" eb="2">
      <t>ヘイセイ</t>
    </rPh>
    <rPh sb="2" eb="4">
      <t>ガンネン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</si>
  <si>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</si>
  <si>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</si>
  <si>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</si>
  <si>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</si>
  <si>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</si>
  <si>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</si>
  <si>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</si>
  <si>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</si>
  <si>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</si>
  <si>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</si>
  <si>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１１年１月</t>
    <rPh sb="2" eb="3">
      <t>ネン</t>
    </rPh>
    <rPh sb="4" eb="5">
      <t>ツキ</t>
    </rPh>
    <phoneticPr fontId="2"/>
  </si>
  <si>
    <t>１１年２月</t>
    <rPh sb="2" eb="3">
      <t>ネン</t>
    </rPh>
    <rPh sb="4" eb="5">
      <t>ツキ</t>
    </rPh>
    <phoneticPr fontId="2"/>
  </si>
  <si>
    <t>１１年３月</t>
    <rPh sb="2" eb="3">
      <t>ネン</t>
    </rPh>
    <rPh sb="4" eb="5">
      <t>ツキ</t>
    </rPh>
    <phoneticPr fontId="2"/>
  </si>
  <si>
    <t>１１年４月</t>
    <rPh sb="2" eb="3">
      <t>ネン</t>
    </rPh>
    <rPh sb="4" eb="5">
      <t>ツキ</t>
    </rPh>
    <phoneticPr fontId="2"/>
  </si>
  <si>
    <t>１１年５月</t>
    <rPh sb="2" eb="3">
      <t>ネン</t>
    </rPh>
    <rPh sb="4" eb="5">
      <t>ツキ</t>
    </rPh>
    <phoneticPr fontId="2"/>
  </si>
  <si>
    <t>１１年６月</t>
    <rPh sb="2" eb="3">
      <t>ネン</t>
    </rPh>
    <rPh sb="4" eb="5">
      <t>ツキ</t>
    </rPh>
    <phoneticPr fontId="2"/>
  </si>
  <si>
    <t>１１年７月</t>
    <rPh sb="2" eb="3">
      <t>ネン</t>
    </rPh>
    <rPh sb="4" eb="5">
      <t>ツキ</t>
    </rPh>
    <phoneticPr fontId="2"/>
  </si>
  <si>
    <t>１１年８月</t>
    <rPh sb="2" eb="3">
      <t>ネン</t>
    </rPh>
    <rPh sb="4" eb="5">
      <t>ツキ</t>
    </rPh>
    <phoneticPr fontId="2"/>
  </si>
  <si>
    <t>１１年９月</t>
    <rPh sb="2" eb="3">
      <t>ネン</t>
    </rPh>
    <rPh sb="4" eb="5">
      <t>ツキ</t>
    </rPh>
    <phoneticPr fontId="2"/>
  </si>
  <si>
    <t>１１年１０月</t>
    <rPh sb="2" eb="3">
      <t>ネン</t>
    </rPh>
    <rPh sb="5" eb="6">
      <t>ツキ</t>
    </rPh>
    <phoneticPr fontId="2"/>
  </si>
  <si>
    <t>１１年１１月</t>
    <rPh sb="2" eb="3">
      <t>ネン</t>
    </rPh>
    <rPh sb="5" eb="6">
      <t>ツキ</t>
    </rPh>
    <phoneticPr fontId="2"/>
  </si>
  <si>
    <t>１１年１２月</t>
    <rPh sb="2" eb="3">
      <t>ネン</t>
    </rPh>
    <rPh sb="5" eb="6">
      <t>ツキ</t>
    </rPh>
    <phoneticPr fontId="2"/>
  </si>
  <si>
    <t>１２年１月</t>
    <rPh sb="2" eb="3">
      <t>ネン</t>
    </rPh>
    <rPh sb="4" eb="5">
      <t>ツキ</t>
    </rPh>
    <phoneticPr fontId="2"/>
  </si>
  <si>
    <t>１２年２月</t>
    <rPh sb="2" eb="3">
      <t>ネン</t>
    </rPh>
    <rPh sb="4" eb="5">
      <t>ツキ</t>
    </rPh>
    <phoneticPr fontId="2"/>
  </si>
  <si>
    <t>１２年３月</t>
    <rPh sb="2" eb="3">
      <t>ネン</t>
    </rPh>
    <rPh sb="4" eb="5">
      <t>ツキ</t>
    </rPh>
    <phoneticPr fontId="2"/>
  </si>
  <si>
    <t>１２年４月</t>
    <rPh sb="2" eb="3">
      <t>ネン</t>
    </rPh>
    <rPh sb="4" eb="5">
      <t>ツキ</t>
    </rPh>
    <phoneticPr fontId="2"/>
  </si>
  <si>
    <t>１２年５月</t>
    <rPh sb="2" eb="3">
      <t>ネン</t>
    </rPh>
    <rPh sb="4" eb="5">
      <t>ツキ</t>
    </rPh>
    <phoneticPr fontId="2"/>
  </si>
  <si>
    <t>１２年６月</t>
    <rPh sb="2" eb="3">
      <t>ネン</t>
    </rPh>
    <rPh sb="4" eb="5">
      <t>ツキ</t>
    </rPh>
    <phoneticPr fontId="2"/>
  </si>
  <si>
    <t>１２年７月</t>
    <rPh sb="2" eb="3">
      <t>ネン</t>
    </rPh>
    <rPh sb="4" eb="5">
      <t>ツキ</t>
    </rPh>
    <phoneticPr fontId="2"/>
  </si>
  <si>
    <t>１２年８月</t>
    <rPh sb="2" eb="3">
      <t>ネン</t>
    </rPh>
    <rPh sb="4" eb="5">
      <t>ツキ</t>
    </rPh>
    <phoneticPr fontId="2"/>
  </si>
  <si>
    <t>１２年９月</t>
    <rPh sb="2" eb="3">
      <t>ネン</t>
    </rPh>
    <rPh sb="4" eb="5">
      <t>ツキ</t>
    </rPh>
    <phoneticPr fontId="2"/>
  </si>
  <si>
    <t>１２年１０月</t>
    <rPh sb="2" eb="3">
      <t>ネン</t>
    </rPh>
    <rPh sb="5" eb="6">
      <t>ツキ</t>
    </rPh>
    <phoneticPr fontId="2"/>
  </si>
  <si>
    <t>１２年１１月</t>
    <rPh sb="2" eb="3">
      <t>ネン</t>
    </rPh>
    <rPh sb="5" eb="6">
      <t>ツキ</t>
    </rPh>
    <phoneticPr fontId="2"/>
  </si>
  <si>
    <t>１２年１２月</t>
    <rPh sb="2" eb="3">
      <t>ネン</t>
    </rPh>
    <rPh sb="5" eb="6">
      <t>ツキ</t>
    </rPh>
    <phoneticPr fontId="2"/>
  </si>
  <si>
    <t>１３年１月</t>
    <rPh sb="2" eb="3">
      <t>ネン</t>
    </rPh>
    <rPh sb="4" eb="5">
      <t>ツキ</t>
    </rPh>
    <phoneticPr fontId="2"/>
  </si>
  <si>
    <t>１３年２月</t>
    <rPh sb="2" eb="3">
      <t>ネン</t>
    </rPh>
    <rPh sb="4" eb="5">
      <t>ツキ</t>
    </rPh>
    <phoneticPr fontId="2"/>
  </si>
  <si>
    <t>１３年３月</t>
    <rPh sb="2" eb="3">
      <t>ネン</t>
    </rPh>
    <rPh sb="4" eb="5">
      <t>ツキ</t>
    </rPh>
    <phoneticPr fontId="2"/>
  </si>
  <si>
    <t>消費量(t)</t>
    <rPh sb="0" eb="3">
      <t>ショウヒリョウ</t>
    </rPh>
    <phoneticPr fontId="2"/>
  </si>
  <si>
    <t>対前年度比</t>
    <rPh sb="0" eb="1">
      <t>タイ</t>
    </rPh>
    <rPh sb="1" eb="5">
      <t>ゼンネンドヒ</t>
    </rPh>
    <phoneticPr fontId="2"/>
  </si>
  <si>
    <t>対前年度比</t>
    <rPh sb="0" eb="1">
      <t>タイ</t>
    </rPh>
    <rPh sb="1" eb="5">
      <t>ゼンネンドヒ</t>
    </rPh>
    <phoneticPr fontId="2"/>
  </si>
  <si>
    <t>労務</t>
    <rPh sb="0" eb="2">
      <t>ロウム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</si>
  <si>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</si>
  <si>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</si>
  <si>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</si>
  <si>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</si>
  <si>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</si>
  <si>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</si>
  <si>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</si>
  <si>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</si>
  <si>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</si>
  <si>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</si>
  <si>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</si>
  <si>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11年10月</t>
    <rPh sb="2" eb="3">
      <t>ネン</t>
    </rPh>
    <rPh sb="5" eb="6">
      <t>ツキ</t>
    </rPh>
    <phoneticPr fontId="2"/>
  </si>
  <si>
    <t>11年11月</t>
    <rPh sb="2" eb="3">
      <t>ネン</t>
    </rPh>
    <rPh sb="5" eb="6">
      <t>ツキ</t>
    </rPh>
    <phoneticPr fontId="2"/>
  </si>
  <si>
    <t>11年12月</t>
    <rPh sb="2" eb="3">
      <t>ネン</t>
    </rPh>
    <rPh sb="5" eb="6">
      <t>ツキ</t>
    </rPh>
    <phoneticPr fontId="2"/>
  </si>
  <si>
    <t>12年10月</t>
    <rPh sb="2" eb="3">
      <t>ネン</t>
    </rPh>
    <rPh sb="5" eb="6">
      <t>ツキ</t>
    </rPh>
    <phoneticPr fontId="2"/>
  </si>
  <si>
    <t>12年11月</t>
    <rPh sb="2" eb="3">
      <t>ネン</t>
    </rPh>
    <rPh sb="5" eb="6">
      <t>ツキ</t>
    </rPh>
    <phoneticPr fontId="2"/>
  </si>
  <si>
    <t>12年12月</t>
    <rPh sb="2" eb="3">
      <t>ネン</t>
    </rPh>
    <rPh sb="5" eb="6">
      <t>ツキ</t>
    </rPh>
    <phoneticPr fontId="2"/>
  </si>
  <si>
    <t>月末常用従業者</t>
    <rPh sb="0" eb="2">
      <t>ゲツマツ</t>
    </rPh>
    <rPh sb="2" eb="4">
      <t>ジョウヨウ</t>
    </rPh>
    <rPh sb="4" eb="7">
      <t>ジュウギョウシャ</t>
    </rPh>
    <phoneticPr fontId="2"/>
  </si>
  <si>
    <t>対前年比</t>
    <rPh sb="0" eb="1">
      <t>タイ</t>
    </rPh>
    <rPh sb="1" eb="3">
      <t>ゼンネン</t>
    </rPh>
    <rPh sb="3" eb="4">
      <t>ヒ</t>
    </rPh>
    <phoneticPr fontId="2"/>
  </si>
  <si>
    <t>月間労働延人員</t>
    <rPh sb="0" eb="2">
      <t>ゲッカン</t>
    </rPh>
    <rPh sb="2" eb="4">
      <t>ロウドウ</t>
    </rPh>
    <rPh sb="4" eb="5">
      <t>ノ</t>
    </rPh>
    <rPh sb="5" eb="7">
      <t>ジンイン</t>
    </rPh>
    <phoneticPr fontId="2"/>
  </si>
  <si>
    <t>対前年比</t>
    <rPh sb="0" eb="1">
      <t>タイ</t>
    </rPh>
    <rPh sb="1" eb="4">
      <t>ゼンネンヒ</t>
    </rPh>
    <phoneticPr fontId="2"/>
  </si>
  <si>
    <t>人数(人)</t>
    <rPh sb="0" eb="2">
      <t>ニンズウ</t>
    </rPh>
    <rPh sb="3" eb="4">
      <t>ニン</t>
    </rPh>
    <phoneticPr fontId="2"/>
  </si>
  <si>
    <t>人数(千人)</t>
    <rPh sb="0" eb="2">
      <t>ニンズウ</t>
    </rPh>
    <rPh sb="3" eb="5">
      <t>センニン</t>
    </rPh>
    <phoneticPr fontId="2"/>
  </si>
  <si>
    <t>対前年比</t>
    <rPh sb="0" eb="1">
      <t>タイ</t>
    </rPh>
    <rPh sb="1" eb="4">
      <t>ゼンネンヒ</t>
    </rPh>
    <phoneticPr fontId="2"/>
  </si>
  <si>
    <t>百万円</t>
    <rPh sb="0" eb="1">
      <t>ヒャク</t>
    </rPh>
    <rPh sb="1" eb="3">
      <t>マンエン</t>
    </rPh>
    <phoneticPr fontId="2"/>
  </si>
  <si>
    <t>合　　　　　　　計</t>
    <rPh sb="0" eb="9">
      <t>ゴウケイ</t>
    </rPh>
    <phoneticPr fontId="2"/>
  </si>
  <si>
    <t>高周波焼入・焼戻し</t>
    <rPh sb="0" eb="3">
      <t>コウシュウハ</t>
    </rPh>
    <rPh sb="3" eb="4">
      <t>ヤ</t>
    </rPh>
    <rPh sb="4" eb="5">
      <t>イ</t>
    </rPh>
    <rPh sb="6" eb="7">
      <t>ヤ</t>
    </rPh>
    <rPh sb="7" eb="8">
      <t>モド</t>
    </rPh>
    <phoneticPr fontId="2"/>
  </si>
  <si>
    <t>窒化・軟窒化</t>
    <rPh sb="0" eb="2">
      <t>チッカ</t>
    </rPh>
    <rPh sb="3" eb="4">
      <t>ナンジャク</t>
    </rPh>
    <rPh sb="4" eb="6">
      <t>チッカ</t>
    </rPh>
    <phoneticPr fontId="2"/>
  </si>
  <si>
    <t>真空熱処理・浸硫等焼入れ、焼戻し</t>
    <rPh sb="0" eb="2">
      <t>シンクウ</t>
    </rPh>
    <rPh sb="2" eb="5">
      <t>ネツショリ</t>
    </rPh>
    <rPh sb="6" eb="7">
      <t>ヒタ</t>
    </rPh>
    <rPh sb="7" eb="8">
      <t>リュウ</t>
    </rPh>
    <rPh sb="8" eb="9">
      <t>トウ</t>
    </rPh>
    <rPh sb="9" eb="10">
      <t>ヤ</t>
    </rPh>
    <rPh sb="10" eb="11">
      <t>イ</t>
    </rPh>
    <rPh sb="13" eb="14">
      <t>ヤ</t>
    </rPh>
    <rPh sb="14" eb="15">
      <t>モド</t>
    </rPh>
    <phoneticPr fontId="2"/>
  </si>
  <si>
    <t>ｔ</t>
    <phoneticPr fontId="2"/>
  </si>
  <si>
    <t>12年5月</t>
    <rPh sb="2" eb="3">
      <t>ネン</t>
    </rPh>
    <phoneticPr fontId="2"/>
  </si>
  <si>
    <t>12年6月</t>
    <rPh sb="2" eb="3">
      <t>ネン</t>
    </rPh>
    <phoneticPr fontId="2"/>
  </si>
  <si>
    <t>12年7月</t>
    <rPh sb="2" eb="3">
      <t>ネン</t>
    </rPh>
    <phoneticPr fontId="2"/>
  </si>
  <si>
    <t>12年8月</t>
    <rPh sb="2" eb="3">
      <t>ネン</t>
    </rPh>
    <phoneticPr fontId="2"/>
  </si>
  <si>
    <t>12年9月</t>
    <rPh sb="2" eb="3">
      <t>ネン</t>
    </rPh>
    <phoneticPr fontId="2"/>
  </si>
  <si>
    <t>12年10月</t>
    <rPh sb="2" eb="3">
      <t>ネン</t>
    </rPh>
    <phoneticPr fontId="2"/>
  </si>
  <si>
    <t>12年11月</t>
    <rPh sb="2" eb="3">
      <t>ネン</t>
    </rPh>
    <phoneticPr fontId="2"/>
  </si>
  <si>
    <t>12年12月</t>
    <rPh sb="2" eb="3">
      <t>ネン</t>
    </rPh>
    <phoneticPr fontId="2"/>
  </si>
  <si>
    <t>13年2月</t>
    <rPh sb="2" eb="3">
      <t>ネン</t>
    </rPh>
    <phoneticPr fontId="2"/>
  </si>
  <si>
    <t>13年3月</t>
    <rPh sb="2" eb="3">
      <t>ネン</t>
    </rPh>
    <phoneticPr fontId="2"/>
  </si>
  <si>
    <t>製品加工別生産</t>
    <rPh sb="0" eb="2">
      <t>セイヒン</t>
    </rPh>
    <rPh sb="2" eb="4">
      <t>カコウ</t>
    </rPh>
    <rPh sb="4" eb="5">
      <t>ベツ</t>
    </rPh>
    <rPh sb="5" eb="7">
      <t>セイサン</t>
    </rPh>
    <phoneticPr fontId="2"/>
  </si>
  <si>
    <t>製品用途別加工金額</t>
    <rPh sb="0" eb="2">
      <t>セイヒン</t>
    </rPh>
    <rPh sb="2" eb="5">
      <t>ヨウトベツ</t>
    </rPh>
    <rPh sb="5" eb="7">
      <t>カコウ</t>
    </rPh>
    <rPh sb="7" eb="9">
      <t>キンガク</t>
    </rPh>
    <phoneticPr fontId="2"/>
  </si>
  <si>
    <t>消費量(kl)</t>
    <rPh sb="0" eb="3">
      <t>ショウヒリョウ</t>
    </rPh>
    <phoneticPr fontId="2"/>
  </si>
  <si>
    <t>重　　　　油</t>
    <rPh sb="0" eb="6">
      <t>ジュウユ</t>
    </rPh>
    <phoneticPr fontId="2"/>
  </si>
  <si>
    <t>焼　　入　　油</t>
    <rPh sb="0" eb="1">
      <t>ヤキイ</t>
    </rPh>
    <rPh sb="3" eb="4">
      <t>イ</t>
    </rPh>
    <rPh sb="6" eb="7">
      <t>アブラ</t>
    </rPh>
    <phoneticPr fontId="2"/>
  </si>
  <si>
    <t>灯　　　　油</t>
    <rPh sb="0" eb="6">
      <t>トウユ</t>
    </rPh>
    <phoneticPr fontId="2"/>
  </si>
  <si>
    <t>都　市　ガ　ス</t>
    <rPh sb="0" eb="3">
      <t>トシ</t>
    </rPh>
    <phoneticPr fontId="2"/>
  </si>
  <si>
    <t>電　　　　力</t>
    <rPh sb="0" eb="6">
      <t>デンリョク</t>
    </rPh>
    <phoneticPr fontId="2"/>
  </si>
  <si>
    <t>消費量(ｋｌ)</t>
    <rPh sb="0" eb="3">
      <t>ショウヒリョウ</t>
    </rPh>
    <phoneticPr fontId="2"/>
  </si>
  <si>
    <t>消費量(立方km)</t>
    <rPh sb="0" eb="3">
      <t>ショウヒリョウ</t>
    </rPh>
    <rPh sb="4" eb="6">
      <t>リッポウ</t>
    </rPh>
    <phoneticPr fontId="2"/>
  </si>
  <si>
    <t>消費量(千kWh)</t>
    <rPh sb="0" eb="3">
      <t>ショウヒリョウ</t>
    </rPh>
    <rPh sb="4" eb="5">
      <t>セン</t>
    </rPh>
    <phoneticPr fontId="2"/>
  </si>
  <si>
    <t>一般機械用</t>
    <rPh sb="0" eb="2">
      <t>イッパン</t>
    </rPh>
    <rPh sb="2" eb="5">
      <t>キカイヨウ</t>
    </rPh>
    <phoneticPr fontId="2"/>
  </si>
  <si>
    <t>電気機械用</t>
    <rPh sb="0" eb="2">
      <t>デンキ</t>
    </rPh>
    <rPh sb="2" eb="5">
      <t>キカイヨウ</t>
    </rPh>
    <phoneticPr fontId="2"/>
  </si>
  <si>
    <t>輸送機械用</t>
    <rPh sb="0" eb="2">
      <t>ユソウ</t>
    </rPh>
    <rPh sb="2" eb="5">
      <t>キカイヨウ</t>
    </rPh>
    <phoneticPr fontId="2"/>
  </si>
  <si>
    <t>精密機械用</t>
    <rPh sb="0" eb="2">
      <t>セイミツ</t>
    </rPh>
    <rPh sb="2" eb="5">
      <t>キカイヨウ</t>
    </rPh>
    <phoneticPr fontId="2"/>
  </si>
  <si>
    <t>金属製品用</t>
    <rPh sb="0" eb="2">
      <t>キンゾク</t>
    </rPh>
    <rPh sb="2" eb="5">
      <t>セイヒンヨウ</t>
    </rPh>
    <phoneticPr fontId="2"/>
  </si>
  <si>
    <t>※81,464</t>
    <phoneticPr fontId="2"/>
  </si>
  <si>
    <t>※14,415</t>
    <phoneticPr fontId="2"/>
  </si>
  <si>
    <t>※81,794</t>
    <phoneticPr fontId="2"/>
  </si>
  <si>
    <t>※14,912</t>
    <phoneticPr fontId="2"/>
  </si>
  <si>
    <t>※80,473</t>
    <phoneticPr fontId="2"/>
  </si>
  <si>
    <t>※14,548</t>
    <phoneticPr fontId="2"/>
  </si>
  <si>
    <t>※70,834</t>
    <phoneticPr fontId="2"/>
  </si>
  <si>
    <t>※12,892</t>
    <phoneticPr fontId="2"/>
  </si>
  <si>
    <t>13年4月</t>
    <phoneticPr fontId="2"/>
  </si>
  <si>
    <t>13年5月</t>
    <rPh sb="2" eb="3">
      <t>ネン</t>
    </rPh>
    <phoneticPr fontId="2"/>
  </si>
  <si>
    <t>13年7月</t>
    <rPh sb="2" eb="3">
      <t>ネン</t>
    </rPh>
    <phoneticPr fontId="2"/>
  </si>
  <si>
    <t>13年8月</t>
    <rPh sb="2" eb="3">
      <t>ネン</t>
    </rPh>
    <phoneticPr fontId="2"/>
  </si>
  <si>
    <t>13年9月</t>
    <rPh sb="2" eb="3">
      <t>ネン</t>
    </rPh>
    <phoneticPr fontId="2"/>
  </si>
  <si>
    <t>13年10月</t>
    <rPh sb="2" eb="3">
      <t>ネン</t>
    </rPh>
    <phoneticPr fontId="2"/>
  </si>
  <si>
    <t>13年11月</t>
    <rPh sb="2" eb="3">
      <t>ネン</t>
    </rPh>
    <phoneticPr fontId="2"/>
  </si>
  <si>
    <t>13年12月</t>
    <rPh sb="2" eb="3">
      <t>ネン</t>
    </rPh>
    <phoneticPr fontId="2"/>
  </si>
  <si>
    <t>13年6月</t>
    <rPh sb="2" eb="3">
      <t>ネン</t>
    </rPh>
    <phoneticPr fontId="2"/>
  </si>
  <si>
    <t>１3年４月</t>
    <rPh sb="2" eb="3">
      <t>ネン</t>
    </rPh>
    <rPh sb="4" eb="5">
      <t>ツキ</t>
    </rPh>
    <phoneticPr fontId="2"/>
  </si>
  <si>
    <t>１3年５月</t>
    <rPh sb="2" eb="3">
      <t>ネン</t>
    </rPh>
    <rPh sb="4" eb="5">
      <t>ツキ</t>
    </rPh>
    <phoneticPr fontId="2"/>
  </si>
  <si>
    <t>１3年６月</t>
    <rPh sb="2" eb="3">
      <t>ネン</t>
    </rPh>
    <rPh sb="4" eb="5">
      <t>ツキ</t>
    </rPh>
    <phoneticPr fontId="2"/>
  </si>
  <si>
    <t>１3年７月</t>
    <rPh sb="2" eb="3">
      <t>ネン</t>
    </rPh>
    <rPh sb="4" eb="5">
      <t>ツキ</t>
    </rPh>
    <phoneticPr fontId="2"/>
  </si>
  <si>
    <t>１3年８月</t>
    <rPh sb="2" eb="3">
      <t>ネン</t>
    </rPh>
    <rPh sb="4" eb="5">
      <t>ツキ</t>
    </rPh>
    <phoneticPr fontId="2"/>
  </si>
  <si>
    <t>１3年９月</t>
    <rPh sb="2" eb="3">
      <t>ネン</t>
    </rPh>
    <rPh sb="4" eb="5">
      <t>ツキ</t>
    </rPh>
    <phoneticPr fontId="2"/>
  </si>
  <si>
    <t>１3年１０月</t>
    <rPh sb="2" eb="3">
      <t>ネン</t>
    </rPh>
    <rPh sb="5" eb="6">
      <t>ツキ</t>
    </rPh>
    <phoneticPr fontId="2"/>
  </si>
  <si>
    <t>１3年１１月</t>
    <rPh sb="2" eb="3">
      <t>ネン</t>
    </rPh>
    <rPh sb="5" eb="6">
      <t>ツキ</t>
    </rPh>
    <phoneticPr fontId="2"/>
  </si>
  <si>
    <t>１3年１２月</t>
    <rPh sb="2" eb="3">
      <t>ネン</t>
    </rPh>
    <rPh sb="5" eb="6">
      <t>ツキ</t>
    </rPh>
    <phoneticPr fontId="2"/>
  </si>
  <si>
    <t>13年10月</t>
    <rPh sb="2" eb="3">
      <t>ネン</t>
    </rPh>
    <rPh sb="5" eb="6">
      <t>ツキ</t>
    </rPh>
    <phoneticPr fontId="2"/>
  </si>
  <si>
    <t>13年11月</t>
    <rPh sb="2" eb="3">
      <t>ネン</t>
    </rPh>
    <rPh sb="5" eb="6">
      <t>ツキ</t>
    </rPh>
    <phoneticPr fontId="2"/>
  </si>
  <si>
    <t>13年12月</t>
    <rPh sb="2" eb="3">
      <t>ネン</t>
    </rPh>
    <rPh sb="5" eb="6">
      <t>ツキ</t>
    </rPh>
    <phoneticPr fontId="2"/>
  </si>
  <si>
    <t>14年1月</t>
  </si>
  <si>
    <t>平成１３年</t>
    <rPh sb="0" eb="2">
      <t>ヘイセイ</t>
    </rPh>
    <rPh sb="4" eb="5">
      <t>ネン</t>
    </rPh>
    <phoneticPr fontId="2"/>
  </si>
  <si>
    <t>14年2月</t>
    <rPh sb="2" eb="3">
      <t>ネン</t>
    </rPh>
    <phoneticPr fontId="2"/>
  </si>
  <si>
    <t>14年3月</t>
    <rPh sb="2" eb="3">
      <t>ネン</t>
    </rPh>
    <phoneticPr fontId="2"/>
  </si>
  <si>
    <t>14年4月</t>
    <rPh sb="2" eb="3">
      <t>ネン</t>
    </rPh>
    <phoneticPr fontId="2"/>
  </si>
  <si>
    <t>14年4月</t>
    <rPh sb="2" eb="3">
      <t>ネン</t>
    </rPh>
    <phoneticPr fontId="2"/>
  </si>
  <si>
    <t>14年5月</t>
    <rPh sb="2" eb="3">
      <t>ネン</t>
    </rPh>
    <phoneticPr fontId="2"/>
  </si>
  <si>
    <t>14年5月</t>
    <rPh sb="2" eb="3">
      <t>ネン</t>
    </rPh>
    <phoneticPr fontId="2"/>
  </si>
  <si>
    <t>14年5月</t>
    <rPh sb="2" eb="3">
      <t>ネン</t>
    </rPh>
    <phoneticPr fontId="2"/>
  </si>
  <si>
    <t>14年6月</t>
    <rPh sb="2" eb="3">
      <t>ネン</t>
    </rPh>
    <phoneticPr fontId="2"/>
  </si>
  <si>
    <t>14年6月</t>
    <rPh sb="2" eb="3">
      <t>ネン</t>
    </rPh>
    <phoneticPr fontId="2"/>
  </si>
  <si>
    <t>14年7月</t>
    <rPh sb="2" eb="3">
      <t>ネン</t>
    </rPh>
    <phoneticPr fontId="2"/>
  </si>
  <si>
    <t>13年</t>
    <phoneticPr fontId="2"/>
  </si>
  <si>
    <t>14年7月</t>
    <rPh sb="2" eb="3">
      <t>ネン</t>
    </rPh>
    <phoneticPr fontId="2"/>
  </si>
  <si>
    <t>14年7月</t>
    <rPh sb="2" eb="3">
      <t>ネン</t>
    </rPh>
    <phoneticPr fontId="2"/>
  </si>
  <si>
    <t>14年8月</t>
    <rPh sb="2" eb="3">
      <t>ネン</t>
    </rPh>
    <phoneticPr fontId="2"/>
  </si>
  <si>
    <t>14年8月</t>
    <rPh sb="2" eb="3">
      <t>ネン</t>
    </rPh>
    <phoneticPr fontId="2"/>
  </si>
  <si>
    <t>14年8月</t>
    <rPh sb="2" eb="3">
      <t>ネン</t>
    </rPh>
    <phoneticPr fontId="2"/>
  </si>
  <si>
    <t>14年9月</t>
    <rPh sb="2" eb="3">
      <t>ネン</t>
    </rPh>
    <phoneticPr fontId="2"/>
  </si>
  <si>
    <t>14年9月</t>
    <rPh sb="2" eb="3">
      <t>ネン</t>
    </rPh>
    <phoneticPr fontId="2"/>
  </si>
  <si>
    <t>14年9月</t>
    <rPh sb="2" eb="3">
      <t>ネン</t>
    </rPh>
    <phoneticPr fontId="2"/>
  </si>
  <si>
    <t>14年10月</t>
    <rPh sb="2" eb="3">
      <t>ネン</t>
    </rPh>
    <phoneticPr fontId="2"/>
  </si>
  <si>
    <t>14年10月</t>
    <rPh sb="2" eb="3">
      <t>ネン</t>
    </rPh>
    <phoneticPr fontId="2"/>
  </si>
  <si>
    <t>14年11月</t>
    <rPh sb="2" eb="3">
      <t>ネン</t>
    </rPh>
    <phoneticPr fontId="2"/>
  </si>
  <si>
    <t>14年11月</t>
    <rPh sb="2" eb="3">
      <t>ネン</t>
    </rPh>
    <phoneticPr fontId="2"/>
  </si>
  <si>
    <t>14年11月</t>
    <rPh sb="2" eb="3">
      <t>ネン</t>
    </rPh>
    <phoneticPr fontId="2"/>
  </si>
  <si>
    <t>14年12月</t>
    <rPh sb="2" eb="3">
      <t>ネン</t>
    </rPh>
    <phoneticPr fontId="2"/>
  </si>
  <si>
    <t>14年</t>
    <phoneticPr fontId="2"/>
  </si>
  <si>
    <t>14年</t>
    <phoneticPr fontId="2"/>
  </si>
  <si>
    <t>平成１４年</t>
    <rPh sb="0" eb="2">
      <t>ヘイセイ</t>
    </rPh>
    <rPh sb="4" eb="5">
      <t>ネン</t>
    </rPh>
    <phoneticPr fontId="2"/>
  </si>
  <si>
    <t>14年12月</t>
    <rPh sb="2" eb="3">
      <t>ネン</t>
    </rPh>
    <phoneticPr fontId="2"/>
  </si>
  <si>
    <t>15年1月</t>
    <rPh sb="2" eb="3">
      <t>ネン</t>
    </rPh>
    <phoneticPr fontId="2"/>
  </si>
  <si>
    <t>15年1月</t>
    <rPh sb="2" eb="3">
      <t>ネン</t>
    </rPh>
    <phoneticPr fontId="2"/>
  </si>
  <si>
    <t>15年1月</t>
    <rPh sb="2" eb="3">
      <t>ネン</t>
    </rPh>
    <phoneticPr fontId="2"/>
  </si>
  <si>
    <t>15年2月</t>
    <rPh sb="2" eb="3">
      <t>ネン</t>
    </rPh>
    <phoneticPr fontId="2"/>
  </si>
  <si>
    <t>15年3月</t>
    <rPh sb="2" eb="3">
      <t>ネン</t>
    </rPh>
    <phoneticPr fontId="2"/>
  </si>
  <si>
    <t>15年3月</t>
    <rPh sb="2" eb="3">
      <t>ネン</t>
    </rPh>
    <phoneticPr fontId="2"/>
  </si>
  <si>
    <t>15年4月</t>
    <rPh sb="2" eb="3">
      <t>ネン</t>
    </rPh>
    <phoneticPr fontId="2"/>
  </si>
  <si>
    <t>15年4月</t>
    <rPh sb="2" eb="3">
      <t>ネン</t>
    </rPh>
    <phoneticPr fontId="2"/>
  </si>
  <si>
    <t>15年4月</t>
    <rPh sb="2" eb="3">
      <t>ネン</t>
    </rPh>
    <phoneticPr fontId="2"/>
  </si>
  <si>
    <t>15年5月</t>
    <rPh sb="2" eb="3">
      <t>ネン</t>
    </rPh>
    <phoneticPr fontId="2"/>
  </si>
  <si>
    <t>15年5月</t>
    <rPh sb="2" eb="3">
      <t>ネン</t>
    </rPh>
    <phoneticPr fontId="2"/>
  </si>
  <si>
    <t>15年6月</t>
    <rPh sb="2" eb="3">
      <t>ネン</t>
    </rPh>
    <phoneticPr fontId="2"/>
  </si>
  <si>
    <t>15年6月</t>
    <rPh sb="2" eb="3">
      <t>ネン</t>
    </rPh>
    <phoneticPr fontId="2"/>
  </si>
  <si>
    <t>15年7月</t>
    <rPh sb="2" eb="3">
      <t>ネン</t>
    </rPh>
    <phoneticPr fontId="2"/>
  </si>
  <si>
    <t>15年7月</t>
    <rPh sb="2" eb="3">
      <t>ネン</t>
    </rPh>
    <phoneticPr fontId="2"/>
  </si>
  <si>
    <t>15年8月</t>
    <rPh sb="2" eb="3">
      <t>ネン</t>
    </rPh>
    <rPh sb="4" eb="5">
      <t>ガツ</t>
    </rPh>
    <phoneticPr fontId="2"/>
  </si>
  <si>
    <t>15年8月</t>
    <rPh sb="2" eb="3">
      <t>ネン</t>
    </rPh>
    <phoneticPr fontId="2"/>
  </si>
  <si>
    <t>15年9月</t>
    <rPh sb="2" eb="3">
      <t>ネン</t>
    </rPh>
    <rPh sb="4" eb="5">
      <t>ガツ</t>
    </rPh>
    <phoneticPr fontId="2"/>
  </si>
  <si>
    <t>15年9月</t>
    <rPh sb="2" eb="3">
      <t>ネン</t>
    </rPh>
    <phoneticPr fontId="2"/>
  </si>
  <si>
    <t>15年10月</t>
    <rPh sb="2" eb="3">
      <t>ネン</t>
    </rPh>
    <rPh sb="5" eb="6">
      <t>ガツ</t>
    </rPh>
    <phoneticPr fontId="2"/>
  </si>
  <si>
    <t>15年10月</t>
    <rPh sb="2" eb="3">
      <t>ネン</t>
    </rPh>
    <phoneticPr fontId="2"/>
  </si>
  <si>
    <t>15年11月</t>
    <rPh sb="2" eb="3">
      <t>ネン</t>
    </rPh>
    <rPh sb="5" eb="6">
      <t>ガツ</t>
    </rPh>
    <phoneticPr fontId="2"/>
  </si>
  <si>
    <t>15年11月</t>
    <rPh sb="2" eb="3">
      <t>ネン</t>
    </rPh>
    <phoneticPr fontId="2"/>
  </si>
  <si>
    <t>15年12月</t>
    <rPh sb="2" eb="3">
      <t>ネン</t>
    </rPh>
    <rPh sb="5" eb="6">
      <t>ガツ</t>
    </rPh>
    <phoneticPr fontId="2"/>
  </si>
  <si>
    <t>15年12月</t>
    <rPh sb="2" eb="3">
      <t>ネン</t>
    </rPh>
    <phoneticPr fontId="2"/>
  </si>
  <si>
    <t>15年</t>
    <phoneticPr fontId="2"/>
  </si>
  <si>
    <t>16年1月</t>
    <rPh sb="2" eb="3">
      <t>ネン</t>
    </rPh>
    <phoneticPr fontId="2"/>
  </si>
  <si>
    <t>平成１５年</t>
    <rPh sb="0" eb="2">
      <t>ヘイセイ</t>
    </rPh>
    <rPh sb="4" eb="5">
      <t>ネン</t>
    </rPh>
    <phoneticPr fontId="2"/>
  </si>
  <si>
    <t>2月</t>
    <phoneticPr fontId="2"/>
  </si>
  <si>
    <t>3月</t>
    <phoneticPr fontId="2"/>
  </si>
  <si>
    <t>4月</t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</si>
  <si>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</si>
  <si>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</si>
  <si>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</si>
  <si>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</si>
  <si>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</si>
  <si>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</si>
  <si>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</si>
  <si>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</si>
  <si>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17年1月</t>
    <rPh sb="2" eb="3">
      <t>ネン</t>
    </rPh>
    <phoneticPr fontId="2"/>
  </si>
  <si>
    <t>17年2月</t>
    <rPh sb="2" eb="3">
      <t>ネン</t>
    </rPh>
    <phoneticPr fontId="2"/>
  </si>
  <si>
    <t>17年3月</t>
    <rPh sb="2" eb="3">
      <t>ネン</t>
    </rPh>
    <phoneticPr fontId="2"/>
  </si>
  <si>
    <t>17年4月</t>
    <rPh sb="2" eb="3">
      <t>ネン</t>
    </rPh>
    <phoneticPr fontId="2"/>
  </si>
  <si>
    <t>17年5月</t>
    <rPh sb="2" eb="3">
      <t>ネン</t>
    </rPh>
    <phoneticPr fontId="2"/>
  </si>
  <si>
    <t>17年6月</t>
    <rPh sb="2" eb="3">
      <t>ネン</t>
    </rPh>
    <phoneticPr fontId="2"/>
  </si>
  <si>
    <t>17年7月</t>
    <rPh sb="2" eb="3">
      <t>ネン</t>
    </rPh>
    <phoneticPr fontId="2"/>
  </si>
  <si>
    <t>17年8月</t>
    <rPh sb="2" eb="3">
      <t>ネン</t>
    </rPh>
    <phoneticPr fontId="2"/>
  </si>
  <si>
    <t>17年9月</t>
    <rPh sb="2" eb="3">
      <t>ネン</t>
    </rPh>
    <phoneticPr fontId="2"/>
  </si>
  <si>
    <t>17年10月</t>
    <rPh sb="2" eb="3">
      <t>ネン</t>
    </rPh>
    <phoneticPr fontId="2"/>
  </si>
  <si>
    <t>17年11月</t>
    <rPh sb="2" eb="3">
      <t>ネン</t>
    </rPh>
    <phoneticPr fontId="2"/>
  </si>
  <si>
    <t>17年12月</t>
    <rPh sb="2" eb="3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</si>
  <si>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</si>
  <si>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</si>
  <si>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18年01月</t>
    <rPh sb="2" eb="3">
      <t>ネン</t>
    </rPh>
    <phoneticPr fontId="2"/>
  </si>
  <si>
    <t>16年</t>
    <phoneticPr fontId="2"/>
  </si>
  <si>
    <t>17年</t>
    <phoneticPr fontId="2"/>
  </si>
  <si>
    <t>18年1月</t>
    <rPh sb="2" eb="3">
      <t>ネン</t>
    </rPh>
    <phoneticPr fontId="2"/>
  </si>
  <si>
    <t>16年</t>
    <phoneticPr fontId="2"/>
  </si>
  <si>
    <t>18年2月</t>
    <rPh sb="2" eb="3">
      <t>ネン</t>
    </rPh>
    <phoneticPr fontId="2"/>
  </si>
  <si>
    <t>18年02月</t>
    <rPh sb="2" eb="3">
      <t>ネン</t>
    </rPh>
    <phoneticPr fontId="2"/>
  </si>
  <si>
    <t>18年3月</t>
    <rPh sb="2" eb="3">
      <t>ネン</t>
    </rPh>
    <phoneticPr fontId="2"/>
  </si>
  <si>
    <t>18年03月</t>
    <rPh sb="2" eb="3">
      <t>ネン</t>
    </rPh>
    <phoneticPr fontId="2"/>
  </si>
  <si>
    <t>18年4月</t>
    <rPh sb="2" eb="3">
      <t>ネン</t>
    </rPh>
    <phoneticPr fontId="2"/>
  </si>
  <si>
    <t>18年04月</t>
    <rPh sb="2" eb="3">
      <t>ネン</t>
    </rPh>
    <phoneticPr fontId="2"/>
  </si>
  <si>
    <t>18年5月</t>
    <rPh sb="2" eb="3">
      <t>ネン</t>
    </rPh>
    <phoneticPr fontId="2"/>
  </si>
  <si>
    <t>18年05月</t>
    <rPh sb="2" eb="3">
      <t>ネン</t>
    </rPh>
    <phoneticPr fontId="2"/>
  </si>
  <si>
    <t>18年6月</t>
    <rPh sb="2" eb="3">
      <t>ネン</t>
    </rPh>
    <phoneticPr fontId="2"/>
  </si>
  <si>
    <t>18年06月</t>
    <rPh sb="2" eb="3">
      <t>ネン</t>
    </rPh>
    <phoneticPr fontId="2"/>
  </si>
  <si>
    <t>18年7月</t>
    <rPh sb="2" eb="3">
      <t>ネン</t>
    </rPh>
    <phoneticPr fontId="2"/>
  </si>
  <si>
    <t>18年07月</t>
    <rPh sb="2" eb="3">
      <t>ネン</t>
    </rPh>
    <phoneticPr fontId="2"/>
  </si>
  <si>
    <t>18年8月</t>
    <rPh sb="2" eb="3">
      <t>ネン</t>
    </rPh>
    <phoneticPr fontId="2"/>
  </si>
  <si>
    <t>18年08月</t>
    <rPh sb="2" eb="3">
      <t>ネン</t>
    </rPh>
    <phoneticPr fontId="2"/>
  </si>
  <si>
    <t>18年9月</t>
    <rPh sb="2" eb="3">
      <t>ネン</t>
    </rPh>
    <phoneticPr fontId="2"/>
  </si>
  <si>
    <t>18年10月</t>
    <rPh sb="2" eb="3">
      <t>ネン</t>
    </rPh>
    <phoneticPr fontId="2"/>
  </si>
  <si>
    <t>18年09月</t>
    <rPh sb="2" eb="3">
      <t>ネン</t>
    </rPh>
    <phoneticPr fontId="2"/>
  </si>
  <si>
    <t>18年11月</t>
    <rPh sb="2" eb="3">
      <t>ネン</t>
    </rPh>
    <phoneticPr fontId="2"/>
  </si>
  <si>
    <t>18年12月</t>
    <rPh sb="2" eb="3">
      <t>ネン</t>
    </rPh>
    <phoneticPr fontId="2"/>
  </si>
  <si>
    <t>18年</t>
    <phoneticPr fontId="2"/>
  </si>
  <si>
    <t>19年1月</t>
    <rPh sb="2" eb="3">
      <t>ネン</t>
    </rPh>
    <phoneticPr fontId="2"/>
  </si>
  <si>
    <t>1８年</t>
    <phoneticPr fontId="2"/>
  </si>
  <si>
    <t>平成１８年</t>
    <rPh sb="0" eb="2">
      <t>ヘイセイ</t>
    </rPh>
    <rPh sb="4" eb="5">
      <t>ネン</t>
    </rPh>
    <phoneticPr fontId="2"/>
  </si>
  <si>
    <t>19年2月</t>
    <rPh sb="2" eb="3">
      <t>ネン</t>
    </rPh>
    <phoneticPr fontId="2"/>
  </si>
  <si>
    <t>19年3月</t>
    <rPh sb="2" eb="3">
      <t>ネン</t>
    </rPh>
    <phoneticPr fontId="2"/>
  </si>
  <si>
    <t>19年4月</t>
    <rPh sb="2" eb="3">
      <t>ネン</t>
    </rPh>
    <phoneticPr fontId="2"/>
  </si>
  <si>
    <t>19年４月</t>
    <rPh sb="2" eb="3">
      <t>ネン</t>
    </rPh>
    <phoneticPr fontId="2"/>
  </si>
  <si>
    <t>19年5月</t>
    <rPh sb="2" eb="3">
      <t>ネン</t>
    </rPh>
    <phoneticPr fontId="2"/>
  </si>
  <si>
    <t>19年6月</t>
    <rPh sb="2" eb="3">
      <t>ネン</t>
    </rPh>
    <phoneticPr fontId="2"/>
  </si>
  <si>
    <t>19年7月</t>
    <rPh sb="2" eb="3">
      <t>ネン</t>
    </rPh>
    <phoneticPr fontId="2"/>
  </si>
  <si>
    <t>19年8月</t>
    <rPh sb="2" eb="3">
      <t>ネン</t>
    </rPh>
    <phoneticPr fontId="2"/>
  </si>
  <si>
    <t>19年9月</t>
    <rPh sb="2" eb="3">
      <t>ネン</t>
    </rPh>
    <phoneticPr fontId="2"/>
  </si>
  <si>
    <t>19年10月</t>
    <rPh sb="2" eb="3">
      <t>ネン</t>
    </rPh>
    <phoneticPr fontId="2"/>
  </si>
  <si>
    <t>19年11月</t>
    <rPh sb="2" eb="3">
      <t>ネン</t>
    </rPh>
    <phoneticPr fontId="2"/>
  </si>
  <si>
    <t>19年12月</t>
    <rPh sb="2" eb="3">
      <t>ネン</t>
    </rPh>
    <phoneticPr fontId="2"/>
  </si>
  <si>
    <t>平成１９年</t>
    <rPh sb="0" eb="2">
      <t>ヘイセイ</t>
    </rPh>
    <rPh sb="4" eb="5">
      <t>ネン</t>
    </rPh>
    <phoneticPr fontId="2"/>
  </si>
  <si>
    <t>1９年</t>
    <phoneticPr fontId="2"/>
  </si>
  <si>
    <t>19年</t>
    <phoneticPr fontId="2"/>
  </si>
  <si>
    <t>20年1月</t>
    <rPh sb="2" eb="3">
      <t>ネン</t>
    </rPh>
    <phoneticPr fontId="2"/>
  </si>
  <si>
    <t>20年2月</t>
    <rPh sb="2" eb="3">
      <t>ネン</t>
    </rPh>
    <phoneticPr fontId="2"/>
  </si>
  <si>
    <t>20年3月</t>
    <rPh sb="2" eb="3">
      <t>ネン</t>
    </rPh>
    <phoneticPr fontId="2"/>
  </si>
  <si>
    <t>20年4月</t>
    <rPh sb="2" eb="3">
      <t>ネン</t>
    </rPh>
    <phoneticPr fontId="2"/>
  </si>
  <si>
    <t>20年5月</t>
    <rPh sb="2" eb="3">
      <t>ネン</t>
    </rPh>
    <phoneticPr fontId="2"/>
  </si>
  <si>
    <t>20年6月</t>
    <rPh sb="2" eb="3">
      <t>ネン</t>
    </rPh>
    <phoneticPr fontId="2"/>
  </si>
  <si>
    <t>20年7月</t>
    <rPh sb="2" eb="3">
      <t>ネン</t>
    </rPh>
    <phoneticPr fontId="2"/>
  </si>
  <si>
    <t>20年8月</t>
    <rPh sb="2" eb="3">
      <t>ネン</t>
    </rPh>
    <phoneticPr fontId="2"/>
  </si>
  <si>
    <t>20年9月</t>
    <rPh sb="2" eb="3">
      <t>ネン</t>
    </rPh>
    <phoneticPr fontId="2"/>
  </si>
  <si>
    <t>20年10月</t>
    <rPh sb="2" eb="3">
      <t>ネン</t>
    </rPh>
    <phoneticPr fontId="2"/>
  </si>
  <si>
    <t>20年11月</t>
    <rPh sb="2" eb="3">
      <t>ネン</t>
    </rPh>
    <phoneticPr fontId="2"/>
  </si>
  <si>
    <t>20年12月</t>
    <rPh sb="2" eb="3">
      <t>ネン</t>
    </rPh>
    <phoneticPr fontId="2"/>
  </si>
  <si>
    <t>21年1月</t>
    <rPh sb="2" eb="3">
      <t>ネン</t>
    </rPh>
    <phoneticPr fontId="2"/>
  </si>
  <si>
    <t>20年</t>
    <phoneticPr fontId="2"/>
  </si>
  <si>
    <t>平成20年</t>
    <rPh sb="0" eb="2">
      <t>ヘイセイ</t>
    </rPh>
    <rPh sb="4" eb="5">
      <t>ネン</t>
    </rPh>
    <phoneticPr fontId="2"/>
  </si>
  <si>
    <t>21年2月</t>
    <rPh sb="2" eb="3">
      <t>ネン</t>
    </rPh>
    <phoneticPr fontId="2"/>
  </si>
  <si>
    <t>21年3月</t>
    <rPh sb="2" eb="3">
      <t>ネン</t>
    </rPh>
    <phoneticPr fontId="2"/>
  </si>
  <si>
    <t>21年4月</t>
    <rPh sb="2" eb="3">
      <t>ネン</t>
    </rPh>
    <phoneticPr fontId="2"/>
  </si>
  <si>
    <t>21年5月</t>
    <rPh sb="2" eb="3">
      <t>ネン</t>
    </rPh>
    <phoneticPr fontId="2"/>
  </si>
  <si>
    <t>21年6月</t>
    <rPh sb="2" eb="3">
      <t>ネン</t>
    </rPh>
    <phoneticPr fontId="2"/>
  </si>
  <si>
    <t>21年7月</t>
    <rPh sb="2" eb="3">
      <t>ネン</t>
    </rPh>
    <phoneticPr fontId="2"/>
  </si>
  <si>
    <t>21年8月</t>
    <rPh sb="2" eb="3">
      <t>ネン</t>
    </rPh>
    <phoneticPr fontId="2"/>
  </si>
  <si>
    <t>21年9月</t>
    <rPh sb="2" eb="3">
      <t>ネン</t>
    </rPh>
    <phoneticPr fontId="2"/>
  </si>
  <si>
    <t>21年10月</t>
    <rPh sb="2" eb="3">
      <t>ネン</t>
    </rPh>
    <phoneticPr fontId="2"/>
  </si>
  <si>
    <t>21年11月</t>
    <rPh sb="2" eb="3">
      <t>ネン</t>
    </rPh>
    <phoneticPr fontId="2"/>
  </si>
  <si>
    <t>21年12月</t>
    <rPh sb="2" eb="3">
      <t>ネン</t>
    </rPh>
    <phoneticPr fontId="2"/>
  </si>
  <si>
    <t>平成21年</t>
    <rPh sb="0" eb="2">
      <t>ヘイセイ</t>
    </rPh>
    <rPh sb="4" eb="5">
      <t>ネン</t>
    </rPh>
    <phoneticPr fontId="2"/>
  </si>
  <si>
    <t>22年1月</t>
    <rPh sb="2" eb="3">
      <t>ネン</t>
    </rPh>
    <phoneticPr fontId="2"/>
  </si>
  <si>
    <t>21年</t>
    <phoneticPr fontId="2"/>
  </si>
  <si>
    <t>22年2月</t>
    <rPh sb="2" eb="3">
      <t>ネン</t>
    </rPh>
    <phoneticPr fontId="2"/>
  </si>
  <si>
    <t>22年3月</t>
    <rPh sb="2" eb="3">
      <t>ネン</t>
    </rPh>
    <phoneticPr fontId="2"/>
  </si>
  <si>
    <t>22年4月</t>
    <rPh sb="2" eb="3">
      <t>ネン</t>
    </rPh>
    <phoneticPr fontId="2"/>
  </si>
  <si>
    <t>22年5月</t>
    <rPh sb="2" eb="3">
      <t>ネン</t>
    </rPh>
    <phoneticPr fontId="2"/>
  </si>
  <si>
    <t>22年6月</t>
    <rPh sb="2" eb="3">
      <t>ネン</t>
    </rPh>
    <phoneticPr fontId="2"/>
  </si>
  <si>
    <t>22年7月</t>
    <rPh sb="2" eb="3">
      <t>ネン</t>
    </rPh>
    <phoneticPr fontId="2"/>
  </si>
  <si>
    <t>22年8月</t>
    <rPh sb="2" eb="3">
      <t>ネン</t>
    </rPh>
    <phoneticPr fontId="2"/>
  </si>
  <si>
    <t>22年9月</t>
    <rPh sb="2" eb="3">
      <t>ネン</t>
    </rPh>
    <phoneticPr fontId="2"/>
  </si>
  <si>
    <t>22年10月</t>
    <rPh sb="2" eb="3">
      <t>ネン</t>
    </rPh>
    <phoneticPr fontId="2"/>
  </si>
  <si>
    <t>22年11月</t>
    <rPh sb="2" eb="3">
      <t>ネン</t>
    </rPh>
    <phoneticPr fontId="2"/>
  </si>
  <si>
    <t>22年12月</t>
    <rPh sb="2" eb="3">
      <t>ネン</t>
    </rPh>
    <phoneticPr fontId="2"/>
  </si>
  <si>
    <t>22年</t>
    <phoneticPr fontId="2"/>
  </si>
  <si>
    <t>平成22年</t>
    <rPh sb="0" eb="2">
      <t>ヘイセイ</t>
    </rPh>
    <rPh sb="4" eb="5">
      <t>ネン</t>
    </rPh>
    <phoneticPr fontId="2"/>
  </si>
  <si>
    <t>23年1月</t>
    <rPh sb="2" eb="3">
      <t>ネン</t>
    </rPh>
    <phoneticPr fontId="2"/>
  </si>
  <si>
    <t>23年2月</t>
    <rPh sb="2" eb="3">
      <t>ネン</t>
    </rPh>
    <phoneticPr fontId="2"/>
  </si>
  <si>
    <t>23年3月</t>
    <rPh sb="2" eb="3">
      <t>ネン</t>
    </rPh>
    <phoneticPr fontId="2"/>
  </si>
  <si>
    <t>23年4月</t>
    <rPh sb="2" eb="3">
      <t>ネン</t>
    </rPh>
    <phoneticPr fontId="2"/>
  </si>
  <si>
    <t>23年5月</t>
    <rPh sb="2" eb="3">
      <t>ネン</t>
    </rPh>
    <phoneticPr fontId="2"/>
  </si>
  <si>
    <t>23年6月</t>
    <rPh sb="2" eb="3">
      <t>ネン</t>
    </rPh>
    <phoneticPr fontId="2"/>
  </si>
  <si>
    <t>23年7月</t>
    <rPh sb="2" eb="3">
      <t>ネン</t>
    </rPh>
    <phoneticPr fontId="2"/>
  </si>
  <si>
    <t>23年8月</t>
    <rPh sb="2" eb="3">
      <t>ネン</t>
    </rPh>
    <phoneticPr fontId="2"/>
  </si>
  <si>
    <t>23年9月</t>
    <rPh sb="2" eb="3">
      <t>ネン</t>
    </rPh>
    <phoneticPr fontId="2"/>
  </si>
  <si>
    <t>23年10月</t>
    <rPh sb="2" eb="3">
      <t>ネン</t>
    </rPh>
    <phoneticPr fontId="2"/>
  </si>
  <si>
    <t>23年11月</t>
    <rPh sb="2" eb="3">
      <t>ネン</t>
    </rPh>
    <phoneticPr fontId="2"/>
  </si>
  <si>
    <t>23年12月</t>
    <rPh sb="2" eb="3">
      <t>ネン</t>
    </rPh>
    <phoneticPr fontId="2"/>
  </si>
  <si>
    <t>23年</t>
    <phoneticPr fontId="2"/>
  </si>
  <si>
    <t>24年1月</t>
    <rPh sb="2" eb="3">
      <t>ネン</t>
    </rPh>
    <phoneticPr fontId="2"/>
  </si>
  <si>
    <t>平成23年</t>
    <rPh sb="0" eb="2">
      <t>ヘイセイ</t>
    </rPh>
    <rPh sb="4" eb="5">
      <t>ネン</t>
    </rPh>
    <phoneticPr fontId="2"/>
  </si>
  <si>
    <t>24年2月</t>
    <rPh sb="2" eb="3">
      <t>ネン</t>
    </rPh>
    <phoneticPr fontId="2"/>
  </si>
  <si>
    <t>24年3月</t>
    <rPh sb="2" eb="3">
      <t>ネン</t>
    </rPh>
    <phoneticPr fontId="2"/>
  </si>
  <si>
    <t>24年4月</t>
    <rPh sb="2" eb="3">
      <t>ネン</t>
    </rPh>
    <phoneticPr fontId="2"/>
  </si>
  <si>
    <t>24年5月</t>
    <rPh sb="2" eb="3">
      <t>ネン</t>
    </rPh>
    <phoneticPr fontId="2"/>
  </si>
  <si>
    <t>24年6月</t>
    <rPh sb="2" eb="3">
      <t>ネン</t>
    </rPh>
    <phoneticPr fontId="2"/>
  </si>
  <si>
    <t>24年7月</t>
    <rPh sb="2" eb="3">
      <t>ネン</t>
    </rPh>
    <phoneticPr fontId="2"/>
  </si>
  <si>
    <t>24年8月</t>
    <rPh sb="2" eb="3">
      <t>ネン</t>
    </rPh>
    <phoneticPr fontId="2"/>
  </si>
  <si>
    <t>24年9月</t>
    <rPh sb="2" eb="3">
      <t>ネン</t>
    </rPh>
    <phoneticPr fontId="2"/>
  </si>
  <si>
    <t>24年10月</t>
    <rPh sb="2" eb="3">
      <t>ネン</t>
    </rPh>
    <phoneticPr fontId="2"/>
  </si>
  <si>
    <t>24年11月</t>
    <rPh sb="2" eb="3">
      <t>ネン</t>
    </rPh>
    <phoneticPr fontId="2"/>
  </si>
  <si>
    <t>24年12月</t>
    <rPh sb="2" eb="3">
      <t>ネン</t>
    </rPh>
    <phoneticPr fontId="2"/>
  </si>
  <si>
    <t>平成24年</t>
    <rPh sb="0" eb="2">
      <t>ヘイセイ</t>
    </rPh>
    <rPh sb="4" eb="5">
      <t>ネン</t>
    </rPh>
    <phoneticPr fontId="2"/>
  </si>
  <si>
    <t>24年</t>
    <phoneticPr fontId="2"/>
  </si>
  <si>
    <t>25年1月</t>
    <rPh sb="2" eb="3">
      <t>ネン</t>
    </rPh>
    <phoneticPr fontId="2"/>
  </si>
  <si>
    <t>25年2月</t>
    <rPh sb="2" eb="3">
      <t>ネン</t>
    </rPh>
    <phoneticPr fontId="2"/>
  </si>
  <si>
    <t>25年3月</t>
    <rPh sb="2" eb="3">
      <t>ネン</t>
    </rPh>
    <phoneticPr fontId="2"/>
  </si>
  <si>
    <t>25年4月</t>
    <rPh sb="2" eb="3">
      <t>ネン</t>
    </rPh>
    <phoneticPr fontId="2"/>
  </si>
  <si>
    <t>25年5月</t>
    <rPh sb="2" eb="3">
      <t>ネン</t>
    </rPh>
    <phoneticPr fontId="2"/>
  </si>
  <si>
    <t>25年6月</t>
    <rPh sb="2" eb="3">
      <t>ネン</t>
    </rPh>
    <phoneticPr fontId="2"/>
  </si>
  <si>
    <t>25年7月</t>
    <rPh sb="2" eb="3">
      <t>ネン</t>
    </rPh>
    <phoneticPr fontId="2"/>
  </si>
  <si>
    <t>25年8月</t>
    <rPh sb="2" eb="3">
      <t>ネン</t>
    </rPh>
    <phoneticPr fontId="2"/>
  </si>
  <si>
    <t>25年9月</t>
    <rPh sb="2" eb="3">
      <t>ネン</t>
    </rPh>
    <phoneticPr fontId="2"/>
  </si>
  <si>
    <t>25年10月</t>
    <rPh sb="2" eb="3">
      <t>ネン</t>
    </rPh>
    <phoneticPr fontId="2"/>
  </si>
  <si>
    <t>25年11月</t>
    <rPh sb="2" eb="3">
      <t>ネン</t>
    </rPh>
    <phoneticPr fontId="2"/>
  </si>
  <si>
    <t>25年12月</t>
    <rPh sb="2" eb="3">
      <t>ネン</t>
    </rPh>
    <phoneticPr fontId="2"/>
  </si>
  <si>
    <t>25年</t>
    <phoneticPr fontId="2"/>
  </si>
  <si>
    <t>26年1月</t>
    <rPh sb="2" eb="3">
      <t>ネン</t>
    </rPh>
    <phoneticPr fontId="2"/>
  </si>
  <si>
    <t>25年</t>
    <phoneticPr fontId="2"/>
  </si>
  <si>
    <t>平成25年</t>
    <rPh sb="0" eb="2">
      <t>ヘイセイ</t>
    </rPh>
    <rPh sb="4" eb="5">
      <t>ネン</t>
    </rPh>
    <phoneticPr fontId="2"/>
  </si>
  <si>
    <t>26年2月</t>
    <rPh sb="2" eb="3">
      <t>ネン</t>
    </rPh>
    <phoneticPr fontId="2"/>
  </si>
  <si>
    <t>26年3月</t>
    <rPh sb="2" eb="3">
      <t>ネン</t>
    </rPh>
    <phoneticPr fontId="2"/>
  </si>
  <si>
    <t>26年4月</t>
    <rPh sb="2" eb="3">
      <t>ネン</t>
    </rPh>
    <phoneticPr fontId="2"/>
  </si>
  <si>
    <t>26年5月</t>
    <rPh sb="2" eb="3">
      <t>ネン</t>
    </rPh>
    <phoneticPr fontId="2"/>
  </si>
  <si>
    <t>26年6月</t>
    <rPh sb="2" eb="3">
      <t>ネン</t>
    </rPh>
    <phoneticPr fontId="2"/>
  </si>
  <si>
    <t>26年7月</t>
    <rPh sb="2" eb="3">
      <t>ネン</t>
    </rPh>
    <phoneticPr fontId="2"/>
  </si>
  <si>
    <t>26年8月</t>
    <rPh sb="2" eb="3">
      <t>ネン</t>
    </rPh>
    <phoneticPr fontId="2"/>
  </si>
  <si>
    <t>26年9月</t>
    <rPh sb="2" eb="3">
      <t>ネン</t>
    </rPh>
    <phoneticPr fontId="2"/>
  </si>
  <si>
    <t>26年10月</t>
    <rPh sb="2" eb="3">
      <t>ネン</t>
    </rPh>
    <phoneticPr fontId="2"/>
  </si>
  <si>
    <t>26年11月</t>
    <rPh sb="2" eb="3">
      <t>ネン</t>
    </rPh>
    <phoneticPr fontId="2"/>
  </si>
  <si>
    <t>26年12月</t>
    <rPh sb="2" eb="3">
      <t>ネン</t>
    </rPh>
    <phoneticPr fontId="2"/>
  </si>
  <si>
    <t>26年</t>
    <phoneticPr fontId="2"/>
  </si>
  <si>
    <t>平成26年</t>
    <rPh sb="0" eb="2">
      <t>ヘイセイ</t>
    </rPh>
    <rPh sb="4" eb="5">
      <t>ネン</t>
    </rPh>
    <phoneticPr fontId="2"/>
  </si>
  <si>
    <t>27年1月</t>
    <rPh sb="2" eb="3">
      <t>ネン</t>
    </rPh>
    <phoneticPr fontId="2"/>
  </si>
  <si>
    <t>27年2月</t>
    <rPh sb="2" eb="3">
      <t>ネン</t>
    </rPh>
    <phoneticPr fontId="2"/>
  </si>
  <si>
    <t>27年3月</t>
    <rPh sb="2" eb="3">
      <t>ネン</t>
    </rPh>
    <phoneticPr fontId="2"/>
  </si>
  <si>
    <t>27年4月</t>
    <rPh sb="2" eb="3">
      <t>ネン</t>
    </rPh>
    <phoneticPr fontId="2"/>
  </si>
  <si>
    <t>27年5月</t>
    <rPh sb="2" eb="3">
      <t>ネン</t>
    </rPh>
    <phoneticPr fontId="2"/>
  </si>
  <si>
    <t>27年6月</t>
    <rPh sb="2" eb="3">
      <t>ネン</t>
    </rPh>
    <phoneticPr fontId="2"/>
  </si>
  <si>
    <t>27年7月</t>
    <rPh sb="2" eb="3">
      <t>ネン</t>
    </rPh>
    <phoneticPr fontId="2"/>
  </si>
  <si>
    <t>27年8月</t>
    <rPh sb="2" eb="3">
      <t>ネン</t>
    </rPh>
    <phoneticPr fontId="2"/>
  </si>
  <si>
    <t>27年9月</t>
    <rPh sb="2" eb="3">
      <t>ネン</t>
    </rPh>
    <phoneticPr fontId="2"/>
  </si>
  <si>
    <t>27年10月</t>
    <rPh sb="2" eb="3">
      <t>ネン</t>
    </rPh>
    <phoneticPr fontId="2"/>
  </si>
  <si>
    <t>27年11月</t>
    <rPh sb="2" eb="3">
      <t>ネン</t>
    </rPh>
    <phoneticPr fontId="2"/>
  </si>
  <si>
    <t>27年12月</t>
    <rPh sb="2" eb="3">
      <t>ネン</t>
    </rPh>
    <phoneticPr fontId="2"/>
  </si>
  <si>
    <t>平成27年</t>
    <rPh sb="0" eb="2">
      <t>ヘイセイ</t>
    </rPh>
    <rPh sb="4" eb="5">
      <t>ネン</t>
    </rPh>
    <phoneticPr fontId="2"/>
  </si>
  <si>
    <t>27年</t>
    <phoneticPr fontId="2"/>
  </si>
  <si>
    <t>28年1月</t>
    <rPh sb="2" eb="3">
      <t>ネン</t>
    </rPh>
    <phoneticPr fontId="2"/>
  </si>
  <si>
    <t>28年2月</t>
    <rPh sb="2" eb="3">
      <t>ネン</t>
    </rPh>
    <phoneticPr fontId="2"/>
  </si>
  <si>
    <t>28年3月</t>
    <rPh sb="2" eb="3">
      <t>ネン</t>
    </rPh>
    <phoneticPr fontId="2"/>
  </si>
  <si>
    <t>28年4月</t>
    <rPh sb="2" eb="3">
      <t>ネン</t>
    </rPh>
    <phoneticPr fontId="2"/>
  </si>
  <si>
    <t>28年5月</t>
    <rPh sb="2" eb="3">
      <t>ネン</t>
    </rPh>
    <phoneticPr fontId="2"/>
  </si>
  <si>
    <t>28年6月</t>
    <rPh sb="2" eb="3">
      <t>ネン</t>
    </rPh>
    <phoneticPr fontId="2"/>
  </si>
  <si>
    <t>28年7月</t>
    <rPh sb="2" eb="3">
      <t>ネン</t>
    </rPh>
    <phoneticPr fontId="2"/>
  </si>
  <si>
    <t>28年8月</t>
    <rPh sb="2" eb="3">
      <t>ネン</t>
    </rPh>
    <phoneticPr fontId="2"/>
  </si>
  <si>
    <t>28年9月</t>
    <rPh sb="2" eb="3">
      <t>ネン</t>
    </rPh>
    <phoneticPr fontId="2"/>
  </si>
  <si>
    <t>28年10月</t>
    <rPh sb="2" eb="3">
      <t>ネン</t>
    </rPh>
    <phoneticPr fontId="2"/>
  </si>
  <si>
    <t>28年11月</t>
    <rPh sb="2" eb="3">
      <t>ネン</t>
    </rPh>
    <phoneticPr fontId="2"/>
  </si>
  <si>
    <t>28年12月</t>
    <rPh sb="2" eb="3">
      <t>ネン</t>
    </rPh>
    <phoneticPr fontId="2"/>
  </si>
  <si>
    <t>※平成元年～４年の窒化・軟窒化欄は「炎、窒化浸硫等焼入、焼き戻し」としての数字である。</t>
    <rPh sb="1" eb="3">
      <t>ヘイセイ</t>
    </rPh>
    <rPh sb="3" eb="5">
      <t>ガンネン</t>
    </rPh>
    <rPh sb="7" eb="8">
      <t>ネン</t>
    </rPh>
    <rPh sb="9" eb="11">
      <t>チッカ</t>
    </rPh>
    <rPh sb="12" eb="13">
      <t>ナン</t>
    </rPh>
    <rPh sb="13" eb="15">
      <t>チッカ</t>
    </rPh>
    <rPh sb="15" eb="16">
      <t>ラン</t>
    </rPh>
    <rPh sb="18" eb="19">
      <t>ホノオ</t>
    </rPh>
    <rPh sb="20" eb="22">
      <t>チッカ</t>
    </rPh>
    <rPh sb="22" eb="23">
      <t>シン</t>
    </rPh>
    <rPh sb="23" eb="24">
      <t>リュウ</t>
    </rPh>
    <rPh sb="24" eb="25">
      <t>トウ</t>
    </rPh>
    <rPh sb="25" eb="27">
      <t>ヤキイ</t>
    </rPh>
    <rPh sb="28" eb="29">
      <t>ヤ</t>
    </rPh>
    <rPh sb="30" eb="31">
      <t>モド</t>
    </rPh>
    <rPh sb="37" eb="39">
      <t>スウジ</t>
    </rPh>
    <phoneticPr fontId="2"/>
  </si>
  <si>
    <t>焼ならし焼なまし</t>
    <rPh sb="0" eb="1">
      <t>ヤ</t>
    </rPh>
    <rPh sb="4" eb="5">
      <t>ヤ</t>
    </rPh>
    <phoneticPr fontId="2"/>
  </si>
  <si>
    <t>焼入焼戻し</t>
    <rPh sb="0" eb="1">
      <t>ヤ</t>
    </rPh>
    <rPh sb="1" eb="2">
      <t>イ</t>
    </rPh>
    <rPh sb="2" eb="3">
      <t>ヤ</t>
    </rPh>
    <rPh sb="3" eb="4">
      <t>モド</t>
    </rPh>
    <phoneticPr fontId="2"/>
  </si>
  <si>
    <t>浸炭焼入焼戻し</t>
    <rPh sb="0" eb="1">
      <t>シントウ</t>
    </rPh>
    <rPh sb="1" eb="2">
      <t>スミ</t>
    </rPh>
    <rPh sb="2" eb="3">
      <t>ヤ</t>
    </rPh>
    <rPh sb="3" eb="4">
      <t>イ</t>
    </rPh>
    <rPh sb="4" eb="5">
      <t>ヤ</t>
    </rPh>
    <rPh sb="5" eb="6">
      <t>モド</t>
    </rPh>
    <phoneticPr fontId="2"/>
  </si>
  <si>
    <t>28年</t>
    <rPh sb="1" eb="2">
      <t>ネン</t>
    </rPh>
    <phoneticPr fontId="2"/>
  </si>
  <si>
    <t>29年1月</t>
    <rPh sb="2" eb="3">
      <t>ネン</t>
    </rPh>
    <phoneticPr fontId="2"/>
  </si>
  <si>
    <t>29年2月</t>
    <rPh sb="2" eb="3">
      <t>ネン</t>
    </rPh>
    <phoneticPr fontId="2"/>
  </si>
  <si>
    <t>29年3月</t>
    <rPh sb="2" eb="3">
      <t>ネン</t>
    </rPh>
    <phoneticPr fontId="2"/>
  </si>
  <si>
    <t>29年4月</t>
    <rPh sb="2" eb="3">
      <t>ネン</t>
    </rPh>
    <phoneticPr fontId="2"/>
  </si>
  <si>
    <t>29年5月</t>
    <rPh sb="2" eb="3">
      <t>ネン</t>
    </rPh>
    <phoneticPr fontId="2"/>
  </si>
  <si>
    <t>29年6月</t>
    <rPh sb="2" eb="3">
      <t>ネン</t>
    </rPh>
    <phoneticPr fontId="2"/>
  </si>
  <si>
    <t>29年7月</t>
    <rPh sb="2" eb="3">
      <t>ネン</t>
    </rPh>
    <phoneticPr fontId="2"/>
  </si>
  <si>
    <t>29年8月</t>
    <rPh sb="2" eb="3">
      <t>ネン</t>
    </rPh>
    <phoneticPr fontId="2"/>
  </si>
  <si>
    <t>29年9月</t>
    <rPh sb="2" eb="3">
      <t>ネン</t>
    </rPh>
    <phoneticPr fontId="2"/>
  </si>
  <si>
    <t>29年10月</t>
    <rPh sb="2" eb="3">
      <t>ネン</t>
    </rPh>
    <phoneticPr fontId="2"/>
  </si>
  <si>
    <t>29年11月</t>
    <rPh sb="2" eb="3">
      <t>ネン</t>
    </rPh>
    <phoneticPr fontId="2"/>
  </si>
  <si>
    <t>29年12月</t>
    <rPh sb="2" eb="3">
      <t>ネン</t>
    </rPh>
    <phoneticPr fontId="2"/>
  </si>
  <si>
    <t>29年</t>
    <rPh sb="2" eb="3">
      <t>ネン</t>
    </rPh>
    <phoneticPr fontId="2"/>
  </si>
  <si>
    <t>28年</t>
    <rPh sb="2" eb="3">
      <t>ネン</t>
    </rPh>
    <phoneticPr fontId="2"/>
  </si>
  <si>
    <t>液化石油ガス</t>
    <rPh sb="0" eb="2">
      <t>エキカ</t>
    </rPh>
    <rPh sb="2" eb="4">
      <t>セキユ</t>
    </rPh>
    <phoneticPr fontId="2"/>
  </si>
  <si>
    <t>30年1月</t>
    <rPh sb="2" eb="3">
      <t>ネン</t>
    </rPh>
    <phoneticPr fontId="2"/>
  </si>
  <si>
    <t>30年2月</t>
    <rPh sb="2" eb="3">
      <t>ネン</t>
    </rPh>
    <phoneticPr fontId="2"/>
  </si>
  <si>
    <t>30年3月</t>
    <rPh sb="2" eb="3">
      <t>ネン</t>
    </rPh>
    <phoneticPr fontId="2"/>
  </si>
  <si>
    <t>30年4月</t>
    <rPh sb="2" eb="3">
      <t>ネン</t>
    </rPh>
    <phoneticPr fontId="2"/>
  </si>
  <si>
    <t>30年5月</t>
    <rPh sb="2" eb="3">
      <t>ネン</t>
    </rPh>
    <phoneticPr fontId="2"/>
  </si>
  <si>
    <t>30年6月</t>
    <rPh sb="2" eb="3">
      <t>ネン</t>
    </rPh>
    <phoneticPr fontId="2"/>
  </si>
  <si>
    <t>30年7月</t>
    <rPh sb="2" eb="3">
      <t>ネン</t>
    </rPh>
    <phoneticPr fontId="2"/>
  </si>
  <si>
    <t>30年8月</t>
    <rPh sb="2" eb="3">
      <t>ネン</t>
    </rPh>
    <phoneticPr fontId="2"/>
  </si>
  <si>
    <t>30年9月</t>
    <rPh sb="2" eb="3">
      <t>ネン</t>
    </rPh>
    <phoneticPr fontId="2"/>
  </si>
  <si>
    <t>30年10月</t>
    <rPh sb="2" eb="3">
      <t>ネン</t>
    </rPh>
    <phoneticPr fontId="2"/>
  </si>
  <si>
    <t>30年11月</t>
    <rPh sb="2" eb="3">
      <t>ネン</t>
    </rPh>
    <phoneticPr fontId="2"/>
  </si>
  <si>
    <t>30年12月</t>
    <rPh sb="2" eb="3">
      <t>ネン</t>
    </rPh>
    <phoneticPr fontId="2"/>
  </si>
  <si>
    <t>30年</t>
    <rPh sb="2" eb="3">
      <t>ネン</t>
    </rPh>
    <phoneticPr fontId="2"/>
  </si>
  <si>
    <t>31年1月</t>
    <rPh sb="1" eb="2">
      <t>ネン</t>
    </rPh>
    <rPh sb="3" eb="4">
      <t>ガツ</t>
    </rPh>
    <phoneticPr fontId="2"/>
  </si>
  <si>
    <t>31年2月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</si>
</sst>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0_ "/>
    <numFmt numFmtId="178" formatCode="#,##0_);[Red]\(#,##0\)"/>
    <numFmt numFmtId="179" formatCode="0_);[Red]\(0\)"/>
    <numFmt numFmtId="180" formatCode="0_ "/>
    <numFmt numFmtId="181" formatCode="#,###"/>
    <numFmt numFmtId="182" formatCode="#,#00,"/>
    <numFmt numFmtId="183" formatCode="0.00_ ;[Red]\-0.00\ "/>
    <numFmt numFmtId="184" formatCode="#,##0,"/>
    <numFmt numFmtId="185" formatCode="#,##0_ ;[Red]\-#,##0\ "/>
    <numFmt numFmtId="186" formatCode="#,##0.00_ ;[Red]\-#,##0.00\ "/>
  </numFmts>
  <fonts count="9" x14ac:knownFonts="1">
    <font>
      <sz val="11"/>
      <name val="ＭＳ Ｐゴシック"/>
      <family val="3"/>
      <charset val="128"/>
    </font>
    <font>
      <sz val="14"/>
      <color indexed="8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ＤＨＰ特太ゴシック体"/>
      <family val="3"/>
      <charset val="128"/>
    </font>
    <font>
      <sz val="14"/>
      <name val="ＤＨＰ特太ゴシック体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DE9D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8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79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 applyProtection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3" fontId="5" fillId="0" borderId="4" xfId="0" applyNumberFormat="1" applyFont="1" applyBorder="1"/>
    <xf numFmtId="3" fontId="5" fillId="0" borderId="5" xfId="0" applyNumberFormat="1" applyFont="1" applyBorder="1"/>
    <xf numFmtId="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0" fontId="5" fillId="0" borderId="10" xfId="0" applyFont="1" applyBorder="1"/>
    <xf numFmtId="0" fontId="5" fillId="0" borderId="9" xfId="0" applyFont="1" applyBorder="1"/>
    <xf numFmtId="3" fontId="5" fillId="0" borderId="8" xfId="0" applyNumberFormat="1" applyFont="1" applyBorder="1"/>
    <xf numFmtId="3" fontId="5" fillId="0" borderId="9" xfId="0" applyNumberFormat="1" applyFont="1" applyBorder="1"/>
    <xf numFmtId="3" fontId="5" fillId="0" borderId="10" xfId="0" applyNumberFormat="1" applyFont="1" applyBorder="1"/>
    <xf numFmtId="0" fontId="5" fillId="0" borderId="11" xfId="0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3" fontId="5" fillId="0" borderId="14" xfId="0" applyNumberFormat="1" applyFont="1" applyBorder="1"/>
    <xf numFmtId="3" fontId="5" fillId="0" borderId="0" xfId="0" applyNumberFormat="1" applyFont="1" applyBorder="1"/>
    <xf numFmtId="3" fontId="5" fillId="0" borderId="15" xfId="0" applyNumberFormat="1" applyFont="1" applyBorder="1"/>
    <xf numFmtId="0" fontId="5" fillId="0" borderId="16" xfId="0" applyFont="1" applyBorder="1"/>
    <xf numFmtId="4" fontId="5" fillId="0" borderId="17" xfId="0" applyNumberFormat="1" applyFont="1" applyBorder="1"/>
    <xf numFmtId="4" fontId="5" fillId="0" borderId="18" xfId="0" applyNumberFormat="1" applyFont="1" applyBorder="1"/>
    <xf numFmtId="0" fontId="5" fillId="0" borderId="18" xfId="0" applyFont="1" applyBorder="1"/>
    <xf numFmtId="0" fontId="5" fillId="0" borderId="17" xfId="0" applyFont="1" applyBorder="1"/>
    <xf numFmtId="0" fontId="5" fillId="0" borderId="7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3" fontId="5" fillId="0" borderId="0" xfId="0" applyNumberFormat="1" applyFont="1"/>
    <xf numFmtId="0" fontId="5" fillId="0" borderId="20" xfId="0" applyFont="1" applyBorder="1"/>
    <xf numFmtId="0" fontId="5" fillId="0" borderId="21" xfId="0" applyFont="1" applyBorder="1" applyAlignment="1">
      <alignment horizontal="right"/>
    </xf>
    <xf numFmtId="4" fontId="5" fillId="0" borderId="22" xfId="0" applyNumberFormat="1" applyFont="1" applyBorder="1"/>
    <xf numFmtId="4" fontId="5" fillId="0" borderId="23" xfId="0" applyNumberFormat="1" applyFont="1" applyBorder="1"/>
    <xf numFmtId="4" fontId="5" fillId="0" borderId="24" xfId="0" applyNumberFormat="1" applyFont="1" applyBorder="1"/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37" fontId="6" fillId="0" borderId="27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5" fillId="0" borderId="28" xfId="0" applyFont="1" applyBorder="1" applyAlignment="1">
      <alignment horizontal="right" vertical="center"/>
    </xf>
    <xf numFmtId="37" fontId="6" fillId="0" borderId="29" xfId="0" applyNumberFormat="1" applyFont="1" applyBorder="1" applyAlignment="1" applyProtection="1">
      <alignment vertical="center"/>
    </xf>
    <xf numFmtId="3" fontId="6" fillId="0" borderId="13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37" fontId="6" fillId="0" borderId="31" xfId="0" applyNumberFormat="1" applyFont="1" applyBorder="1" applyAlignment="1" applyProtection="1">
      <alignment horizontal="center" vertical="center" shrinkToFit="1"/>
    </xf>
    <xf numFmtId="37" fontId="6" fillId="0" borderId="32" xfId="0" applyNumberFormat="1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</xf>
    <xf numFmtId="0" fontId="6" fillId="0" borderId="34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3" fontId="5" fillId="0" borderId="36" xfId="0" applyNumberFormat="1" applyFont="1" applyBorder="1"/>
    <xf numFmtId="4" fontId="6" fillId="0" borderId="18" xfId="0" applyNumberFormat="1" applyFont="1" applyBorder="1" applyAlignment="1" applyProtection="1">
      <alignment horizontal="right" vertical="center"/>
    </xf>
    <xf numFmtId="177" fontId="6" fillId="0" borderId="37" xfId="0" applyNumberFormat="1" applyFont="1" applyBorder="1" applyAlignment="1" applyProtection="1">
      <alignment horizontal="right" vertical="center"/>
    </xf>
    <xf numFmtId="177" fontId="6" fillId="0" borderId="38" xfId="0" applyNumberFormat="1" applyFont="1" applyBorder="1" applyAlignment="1" applyProtection="1">
      <alignment horizontal="right" vertical="center"/>
    </xf>
    <xf numFmtId="177" fontId="6" fillId="0" borderId="39" xfId="0" applyNumberFormat="1" applyFont="1" applyBorder="1" applyAlignment="1" applyProtection="1">
      <alignment horizontal="right" vertical="center"/>
    </xf>
    <xf numFmtId="37" fontId="6" fillId="0" borderId="40" xfId="0" applyNumberFormat="1" applyFont="1" applyBorder="1" applyAlignment="1" applyProtection="1">
      <alignment vertical="center"/>
    </xf>
    <xf numFmtId="0" fontId="5" fillId="0" borderId="41" xfId="0" applyFont="1" applyBorder="1" applyAlignment="1">
      <alignment horizontal="right" vertical="center"/>
    </xf>
    <xf numFmtId="3" fontId="6" fillId="0" borderId="6" xfId="0" applyNumberFormat="1" applyFont="1" applyBorder="1" applyAlignment="1" applyProtection="1">
      <alignment horizontal="right" vertical="center"/>
    </xf>
    <xf numFmtId="4" fontId="6" fillId="0" borderId="42" xfId="0" applyNumberFormat="1" applyFont="1" applyBorder="1" applyAlignment="1" applyProtection="1">
      <alignment horizontal="right" vertical="center"/>
    </xf>
    <xf numFmtId="37" fontId="6" fillId="0" borderId="43" xfId="0" applyNumberFormat="1" applyFont="1" applyBorder="1" applyAlignment="1" applyProtection="1">
      <alignment vertical="center"/>
    </xf>
    <xf numFmtId="37" fontId="6" fillId="0" borderId="44" xfId="0" applyNumberFormat="1" applyFont="1" applyBorder="1" applyAlignment="1" applyProtection="1">
      <alignment vertical="center"/>
    </xf>
    <xf numFmtId="37" fontId="6" fillId="0" borderId="45" xfId="0" applyNumberFormat="1" applyFont="1" applyBorder="1" applyAlignment="1" applyProtection="1">
      <alignment vertical="center"/>
    </xf>
    <xf numFmtId="0" fontId="5" fillId="0" borderId="46" xfId="0" applyFont="1" applyBorder="1" applyAlignment="1">
      <alignment horizontal="right" vertical="center"/>
    </xf>
    <xf numFmtId="177" fontId="6" fillId="0" borderId="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5" fillId="0" borderId="47" xfId="0" applyFont="1" applyBorder="1" applyAlignment="1">
      <alignment horizontal="right" vertical="center"/>
    </xf>
    <xf numFmtId="37" fontId="6" fillId="0" borderId="48" xfId="0" applyNumberFormat="1" applyFont="1" applyBorder="1" applyAlignment="1" applyProtection="1">
      <alignment vertical="center"/>
    </xf>
    <xf numFmtId="0" fontId="5" fillId="0" borderId="49" xfId="0" applyFont="1" applyBorder="1" applyAlignment="1">
      <alignment horizontal="right" vertical="center"/>
    </xf>
    <xf numFmtId="37" fontId="6" fillId="0" borderId="50" xfId="0" applyNumberFormat="1" applyFont="1" applyBorder="1" applyAlignment="1" applyProtection="1">
      <alignment vertical="center"/>
    </xf>
    <xf numFmtId="0" fontId="5" fillId="0" borderId="5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2" xfId="0" applyFont="1" applyBorder="1" applyAlignment="1" applyProtection="1">
      <alignment horizontal="center" vertical="center" shrinkToFit="1"/>
    </xf>
    <xf numFmtId="4" fontId="6" fillId="0" borderId="17" xfId="0" applyNumberFormat="1" applyFont="1" applyBorder="1" applyAlignment="1" applyProtection="1">
      <alignment horizontal="right" vertical="center"/>
    </xf>
    <xf numFmtId="4" fontId="6" fillId="0" borderId="52" xfId="0" applyNumberFormat="1" applyFont="1" applyBorder="1" applyAlignment="1" applyProtection="1">
      <alignment horizontal="right" vertical="center"/>
    </xf>
    <xf numFmtId="4" fontId="6" fillId="0" borderId="53" xfId="0" applyNumberFormat="1" applyFont="1" applyBorder="1" applyAlignment="1" applyProtection="1">
      <alignment horizontal="right" vertical="center"/>
    </xf>
    <xf numFmtId="3" fontId="5" fillId="0" borderId="54" xfId="0" applyNumberFormat="1" applyFont="1" applyBorder="1"/>
    <xf numFmtId="4" fontId="5" fillId="0" borderId="55" xfId="0" applyNumberFormat="1" applyFont="1" applyBorder="1"/>
    <xf numFmtId="3" fontId="5" fillId="0" borderId="55" xfId="0" applyNumberFormat="1" applyFont="1" applyBorder="1"/>
    <xf numFmtId="3" fontId="5" fillId="0" borderId="56" xfId="0" applyNumberFormat="1" applyFont="1" applyBorder="1"/>
    <xf numFmtId="4" fontId="5" fillId="0" borderId="53" xfId="0" applyNumberFormat="1" applyFont="1" applyBorder="1"/>
    <xf numFmtId="3" fontId="5" fillId="0" borderId="57" xfId="0" applyNumberFormat="1" applyFont="1" applyBorder="1"/>
    <xf numFmtId="0" fontId="5" fillId="0" borderId="58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0" xfId="0" applyFont="1" applyBorder="1"/>
    <xf numFmtId="4" fontId="5" fillId="0" borderId="61" xfId="0" applyNumberFormat="1" applyFont="1" applyBorder="1"/>
    <xf numFmtId="4" fontId="5" fillId="0" borderId="21" xfId="0" applyNumberFormat="1" applyFont="1" applyBorder="1"/>
    <xf numFmtId="0" fontId="6" fillId="0" borderId="59" xfId="0" applyFont="1" applyBorder="1" applyAlignment="1" applyProtection="1">
      <alignment horizontal="center" vertical="center" shrinkToFit="1"/>
    </xf>
    <xf numFmtId="3" fontId="5" fillId="0" borderId="62" xfId="0" applyNumberFormat="1" applyFont="1" applyBorder="1"/>
    <xf numFmtId="3" fontId="5" fillId="0" borderId="63" xfId="0" applyNumberFormat="1" applyFont="1" applyBorder="1"/>
    <xf numFmtId="3" fontId="5" fillId="0" borderId="20" xfId="0" applyNumberFormat="1" applyFont="1" applyBorder="1"/>
    <xf numFmtId="3" fontId="5" fillId="0" borderId="64" xfId="0" applyNumberFormat="1" applyFont="1" applyBorder="1"/>
    <xf numFmtId="3" fontId="5" fillId="0" borderId="7" xfId="0" applyNumberFormat="1" applyFont="1" applyBorder="1"/>
    <xf numFmtId="4" fontId="5" fillId="0" borderId="8" xfId="0" applyNumberFormat="1" applyFont="1" applyBorder="1"/>
    <xf numFmtId="4" fontId="5" fillId="0" borderId="7" xfId="0" applyNumberFormat="1" applyFont="1" applyBorder="1"/>
    <xf numFmtId="4" fontId="5" fillId="0" borderId="19" xfId="0" applyNumberFormat="1" applyFont="1" applyBorder="1"/>
    <xf numFmtId="4" fontId="5" fillId="0" borderId="65" xfId="0" applyNumberFormat="1" applyFont="1" applyBorder="1"/>
    <xf numFmtId="3" fontId="5" fillId="0" borderId="11" xfId="0" applyNumberFormat="1" applyFont="1" applyBorder="1"/>
    <xf numFmtId="3" fontId="5" fillId="0" borderId="3" xfId="0" applyNumberFormat="1" applyFont="1" applyBorder="1"/>
    <xf numFmtId="0" fontId="5" fillId="0" borderId="5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5" fillId="0" borderId="66" xfId="0" applyNumberFormat="1" applyFont="1" applyBorder="1"/>
    <xf numFmtId="4" fontId="5" fillId="0" borderId="67" xfId="0" applyNumberFormat="1" applyFont="1" applyBorder="1"/>
    <xf numFmtId="0" fontId="5" fillId="0" borderId="68" xfId="0" applyFont="1" applyBorder="1" applyAlignment="1">
      <alignment horizontal="center"/>
    </xf>
    <xf numFmtId="4" fontId="5" fillId="0" borderId="69" xfId="0" applyNumberFormat="1" applyFont="1" applyBorder="1"/>
    <xf numFmtId="3" fontId="5" fillId="0" borderId="69" xfId="0" applyNumberFormat="1" applyFont="1" applyBorder="1"/>
    <xf numFmtId="3" fontId="5" fillId="0" borderId="70" xfId="0" applyNumberFormat="1" applyFont="1" applyBorder="1"/>
    <xf numFmtId="3" fontId="5" fillId="0" borderId="71" xfId="0" applyNumberFormat="1" applyFont="1" applyBorder="1"/>
    <xf numFmtId="0" fontId="6" fillId="0" borderId="68" xfId="0" applyFont="1" applyBorder="1" applyAlignment="1" applyProtection="1">
      <alignment horizontal="center" vertical="center" shrinkToFit="1"/>
    </xf>
    <xf numFmtId="4" fontId="6" fillId="0" borderId="67" xfId="0" applyNumberFormat="1" applyFont="1" applyBorder="1" applyAlignment="1" applyProtection="1">
      <alignment horizontal="right" vertical="center"/>
    </xf>
    <xf numFmtId="4" fontId="5" fillId="0" borderId="72" xfId="0" applyNumberFormat="1" applyFont="1" applyBorder="1"/>
    <xf numFmtId="4" fontId="5" fillId="0" borderId="73" xfId="0" applyNumberFormat="1" applyFont="1" applyBorder="1"/>
    <xf numFmtId="4" fontId="5" fillId="0" borderId="42" xfId="0" applyNumberFormat="1" applyFont="1" applyBorder="1"/>
    <xf numFmtId="4" fontId="5" fillId="0" borderId="74" xfId="0" applyNumberFormat="1" applyFont="1" applyBorder="1"/>
    <xf numFmtId="3" fontId="5" fillId="0" borderId="75" xfId="0" applyNumberFormat="1" applyFont="1" applyBorder="1"/>
    <xf numFmtId="4" fontId="6" fillId="0" borderId="19" xfId="0" applyNumberFormat="1" applyFont="1" applyBorder="1" applyAlignment="1" applyProtection="1">
      <alignment horizontal="right" vertical="center"/>
    </xf>
    <xf numFmtId="3" fontId="5" fillId="2" borderId="13" xfId="0" applyNumberFormat="1" applyFont="1" applyFill="1" applyBorder="1"/>
    <xf numFmtId="3" fontId="5" fillId="2" borderId="6" xfId="0" applyNumberFormat="1" applyFont="1" applyFill="1" applyBorder="1"/>
    <xf numFmtId="0" fontId="5" fillId="0" borderId="76" xfId="0" applyFont="1" applyBorder="1" applyAlignment="1">
      <alignment horizontal="center"/>
    </xf>
    <xf numFmtId="3" fontId="5" fillId="2" borderId="5" xfId="0" applyNumberFormat="1" applyFont="1" applyFill="1" applyBorder="1"/>
    <xf numFmtId="3" fontId="5" fillId="2" borderId="9" xfId="0" applyNumberFormat="1" applyFont="1" applyFill="1" applyBorder="1"/>
    <xf numFmtId="3" fontId="5" fillId="2" borderId="15" xfId="0" applyNumberFormat="1" applyFont="1" applyFill="1" applyBorder="1"/>
    <xf numFmtId="3" fontId="5" fillId="2" borderId="0" xfId="0" applyNumberFormat="1" applyFont="1" applyFill="1" applyBorder="1"/>
    <xf numFmtId="3" fontId="5" fillId="2" borderId="7" xfId="0" applyNumberFormat="1" applyFont="1" applyFill="1" applyBorder="1"/>
    <xf numFmtId="4" fontId="5" fillId="0" borderId="77" xfId="0" applyNumberFormat="1" applyFont="1" applyBorder="1"/>
    <xf numFmtId="3" fontId="5" fillId="3" borderId="3" xfId="0" applyNumberFormat="1" applyFont="1" applyFill="1" applyBorder="1"/>
    <xf numFmtId="3" fontId="5" fillId="4" borderId="3" xfId="0" applyNumberFormat="1" applyFont="1" applyFill="1" applyBorder="1"/>
    <xf numFmtId="3" fontId="5" fillId="3" borderId="13" xfId="0" applyNumberFormat="1" applyFont="1" applyFill="1" applyBorder="1"/>
    <xf numFmtId="3" fontId="5" fillId="3" borderId="10" xfId="0" applyNumberFormat="1" applyFont="1" applyFill="1" applyBorder="1"/>
    <xf numFmtId="0" fontId="5" fillId="0" borderId="32" xfId="0" quotePrefix="1" applyFont="1" applyBorder="1" applyAlignment="1">
      <alignment horizontal="center" vertical="center"/>
    </xf>
    <xf numFmtId="0" fontId="4" fillId="2" borderId="0" xfId="0" applyFont="1" applyFill="1"/>
    <xf numFmtId="0" fontId="5" fillId="2" borderId="32" xfId="0" applyFont="1" applyFill="1" applyBorder="1" applyAlignment="1">
      <alignment horizontal="center" vertical="center"/>
    </xf>
    <xf numFmtId="55" fontId="5" fillId="2" borderId="32" xfId="0" quotePrefix="1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63" xfId="0" applyFont="1" applyBorder="1" applyAlignment="1">
      <alignment horizontal="center" vertical="center"/>
    </xf>
    <xf numFmtId="0" fontId="5" fillId="0" borderId="6" xfId="0" applyFont="1" applyBorder="1"/>
    <xf numFmtId="0" fontId="5" fillId="0" borderId="76" xfId="0" applyFont="1" applyBorder="1" applyAlignment="1">
      <alignment horizontal="center" vertical="center"/>
    </xf>
    <xf numFmtId="0" fontId="5" fillId="0" borderId="13" xfId="0" applyFont="1" applyBorder="1"/>
    <xf numFmtId="0" fontId="5" fillId="0" borderId="58" xfId="0" quotePrefix="1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4" fontId="5" fillId="0" borderId="79" xfId="0" applyNumberFormat="1" applyFont="1" applyBorder="1"/>
    <xf numFmtId="3" fontId="5" fillId="0" borderId="78" xfId="0" applyNumberFormat="1" applyFont="1" applyBorder="1"/>
    <xf numFmtId="0" fontId="5" fillId="0" borderId="56" xfId="0" applyFont="1" applyBorder="1"/>
    <xf numFmtId="0" fontId="5" fillId="0" borderId="78" xfId="0" applyFont="1" applyBorder="1"/>
    <xf numFmtId="0" fontId="5" fillId="0" borderId="59" xfId="0" applyFont="1" applyBorder="1" applyAlignment="1">
      <alignment horizontal="center" vertical="center"/>
    </xf>
    <xf numFmtId="0" fontId="5" fillId="0" borderId="15" xfId="0" applyFont="1" applyBorder="1"/>
    <xf numFmtId="3" fontId="6" fillId="0" borderId="5" xfId="0" applyNumberFormat="1" applyFont="1" applyBorder="1" applyAlignment="1" applyProtection="1">
      <alignment horizontal="right" vertical="top"/>
    </xf>
    <xf numFmtId="3" fontId="6" fillId="0" borderId="6" xfId="0" applyNumberFormat="1" applyFont="1" applyBorder="1" applyAlignment="1" applyProtection="1">
      <alignment horizontal="right" vertical="top"/>
    </xf>
    <xf numFmtId="3" fontId="6" fillId="2" borderId="5" xfId="0" applyNumberFormat="1" applyFont="1" applyFill="1" applyBorder="1" applyAlignment="1" applyProtection="1">
      <alignment horizontal="right" vertical="top"/>
    </xf>
    <xf numFmtId="3" fontId="6" fillId="0" borderId="80" xfId="0" applyNumberFormat="1" applyFont="1" applyBorder="1" applyAlignment="1" applyProtection="1">
      <alignment horizontal="right" vertical="top"/>
    </xf>
    <xf numFmtId="3" fontId="6" fillId="0" borderId="81" xfId="0" applyNumberFormat="1" applyFont="1" applyBorder="1" applyAlignment="1" applyProtection="1">
      <alignment horizontal="right" vertical="top"/>
    </xf>
    <xf numFmtId="3" fontId="6" fillId="0" borderId="82" xfId="0" applyNumberFormat="1" applyFont="1" applyBorder="1" applyAlignment="1" applyProtection="1">
      <alignment horizontal="right" vertical="top"/>
    </xf>
    <xf numFmtId="3" fontId="6" fillId="0" borderId="66" xfId="0" applyNumberFormat="1" applyFont="1" applyBorder="1" applyAlignment="1" applyProtection="1">
      <alignment horizontal="right" vertical="top"/>
    </xf>
    <xf numFmtId="3" fontId="6" fillId="0" borderId="54" xfId="0" applyNumberFormat="1" applyFont="1" applyBorder="1" applyAlignment="1" applyProtection="1">
      <alignment horizontal="right" vertical="top"/>
    </xf>
    <xf numFmtId="3" fontId="5" fillId="0" borderId="63" xfId="0" applyNumberFormat="1" applyFont="1" applyBorder="1" applyAlignment="1">
      <alignment vertical="top"/>
    </xf>
    <xf numFmtId="3" fontId="5" fillId="0" borderId="64" xfId="0" applyNumberFormat="1" applyFont="1" applyBorder="1" applyAlignment="1">
      <alignment vertical="top"/>
    </xf>
    <xf numFmtId="3" fontId="6" fillId="0" borderId="3" xfId="0" applyNumberFormat="1" applyFont="1" applyBorder="1" applyAlignment="1" applyProtection="1">
      <alignment horizontal="right" vertical="top"/>
    </xf>
    <xf numFmtId="3" fontId="5" fillId="0" borderId="75" xfId="0" applyNumberFormat="1" applyFont="1" applyBorder="1" applyAlignment="1">
      <alignment vertical="top"/>
    </xf>
    <xf numFmtId="3" fontId="5" fillId="0" borderId="6" xfId="0" applyNumberFormat="1" applyFont="1" applyBorder="1" applyAlignment="1">
      <alignment vertical="top"/>
    </xf>
    <xf numFmtId="3" fontId="5" fillId="2" borderId="6" xfId="0" applyNumberFormat="1" applyFont="1" applyFill="1" applyBorder="1" applyAlignment="1">
      <alignment vertical="top"/>
    </xf>
    <xf numFmtId="3" fontId="5" fillId="0" borderId="54" xfId="0" applyNumberFormat="1" applyFont="1" applyBorder="1" applyAlignment="1">
      <alignment vertical="top"/>
    </xf>
    <xf numFmtId="177" fontId="6" fillId="0" borderId="83" xfId="0" applyNumberFormat="1" applyFont="1" applyBorder="1" applyAlignment="1" applyProtection="1">
      <alignment horizontal="right" vertical="top"/>
    </xf>
    <xf numFmtId="4" fontId="6" fillId="0" borderId="10" xfId="0" applyNumberFormat="1" applyFont="1" applyBorder="1" applyAlignment="1" applyProtection="1">
      <alignment horizontal="right" vertical="top"/>
    </xf>
    <xf numFmtId="177" fontId="6" fillId="0" borderId="84" xfId="0" applyNumberFormat="1" applyFont="1" applyBorder="1" applyAlignment="1" applyProtection="1">
      <alignment horizontal="right" vertical="top"/>
    </xf>
    <xf numFmtId="177" fontId="6" fillId="0" borderId="85" xfId="0" applyNumberFormat="1" applyFont="1" applyBorder="1" applyAlignment="1" applyProtection="1">
      <alignment horizontal="right" vertical="top"/>
    </xf>
    <xf numFmtId="177" fontId="6" fillId="0" borderId="86" xfId="0" applyNumberFormat="1" applyFont="1" applyBorder="1" applyAlignment="1" applyProtection="1">
      <alignment horizontal="right" vertical="top"/>
    </xf>
    <xf numFmtId="4" fontId="6" fillId="0" borderId="55" xfId="0" applyNumberFormat="1" applyFont="1" applyBorder="1" applyAlignment="1" applyProtection="1">
      <alignment horizontal="right" vertical="top"/>
    </xf>
    <xf numFmtId="4" fontId="6" fillId="0" borderId="69" xfId="0" applyNumberFormat="1" applyFont="1" applyBorder="1" applyAlignment="1" applyProtection="1">
      <alignment horizontal="right" vertical="top"/>
    </xf>
    <xf numFmtId="4" fontId="6" fillId="0" borderId="9" xfId="0" applyNumberFormat="1" applyFont="1" applyBorder="1" applyAlignment="1" applyProtection="1">
      <alignment horizontal="right" vertical="top"/>
    </xf>
    <xf numFmtId="4" fontId="6" fillId="0" borderId="87" xfId="0" applyNumberFormat="1" applyFont="1" applyBorder="1" applyAlignment="1" applyProtection="1">
      <alignment horizontal="right" vertical="top"/>
    </xf>
    <xf numFmtId="4" fontId="6" fillId="0" borderId="7" xfId="0" applyNumberFormat="1" applyFont="1" applyBorder="1" applyAlignment="1" applyProtection="1">
      <alignment horizontal="right" vertical="top"/>
    </xf>
    <xf numFmtId="4" fontId="5" fillId="0" borderId="8" xfId="0" applyNumberFormat="1" applyFont="1" applyBorder="1" applyAlignment="1">
      <alignment vertical="top"/>
    </xf>
    <xf numFmtId="4" fontId="5" fillId="0" borderId="10" xfId="0" applyNumberFormat="1" applyFont="1" applyBorder="1" applyAlignment="1">
      <alignment vertical="top"/>
    </xf>
    <xf numFmtId="4" fontId="5" fillId="2" borderId="10" xfId="0" applyNumberFormat="1" applyFont="1" applyFill="1" applyBorder="1" applyAlignment="1">
      <alignment vertical="top"/>
    </xf>
    <xf numFmtId="4" fontId="5" fillId="0" borderId="55" xfId="0" applyNumberFormat="1" applyFont="1" applyBorder="1" applyAlignment="1">
      <alignment vertical="top"/>
    </xf>
    <xf numFmtId="3" fontId="5" fillId="0" borderId="36" xfId="0" applyNumberFormat="1" applyFont="1" applyBorder="1" applyAlignment="1">
      <alignment vertical="top"/>
    </xf>
    <xf numFmtId="3" fontId="5" fillId="0" borderId="12" xfId="0" applyNumberFormat="1" applyFont="1" applyBorder="1" applyAlignment="1">
      <alignment vertical="top"/>
    </xf>
    <xf numFmtId="3" fontId="5" fillId="0" borderId="13" xfId="0" applyNumberFormat="1" applyFont="1" applyBorder="1" applyAlignment="1">
      <alignment vertical="top"/>
    </xf>
    <xf numFmtId="3" fontId="5" fillId="2" borderId="13" xfId="0" applyNumberFormat="1" applyFont="1" applyFill="1" applyBorder="1" applyAlignment="1">
      <alignment vertical="top"/>
    </xf>
    <xf numFmtId="3" fontId="6" fillId="0" borderId="13" xfId="0" applyNumberFormat="1" applyFont="1" applyBorder="1" applyAlignment="1" applyProtection="1">
      <alignment horizontal="right" vertical="top"/>
    </xf>
    <xf numFmtId="3" fontId="6" fillId="0" borderId="71" xfId="0" applyNumberFormat="1" applyFont="1" applyBorder="1" applyAlignment="1" applyProtection="1">
      <alignment horizontal="right" vertical="top"/>
    </xf>
    <xf numFmtId="3" fontId="6" fillId="0" borderId="57" xfId="0" applyNumberFormat="1" applyFont="1" applyBorder="1" applyAlignment="1" applyProtection="1">
      <alignment horizontal="right" vertical="top"/>
    </xf>
    <xf numFmtId="3" fontId="5" fillId="0" borderId="15" xfId="0" applyNumberFormat="1" applyFont="1" applyBorder="1" applyAlignment="1">
      <alignment vertical="top"/>
    </xf>
    <xf numFmtId="3" fontId="5" fillId="0" borderId="88" xfId="0" applyNumberFormat="1" applyFont="1" applyBorder="1" applyAlignment="1">
      <alignment vertical="top"/>
    </xf>
    <xf numFmtId="3" fontId="5" fillId="0" borderId="11" xfId="0" applyNumberFormat="1" applyFont="1" applyBorder="1" applyAlignment="1">
      <alignment vertical="top"/>
    </xf>
    <xf numFmtId="3" fontId="5" fillId="0" borderId="89" xfId="0" applyNumberFormat="1" applyFont="1" applyBorder="1" applyAlignment="1">
      <alignment vertical="top"/>
    </xf>
    <xf numFmtId="3" fontId="5" fillId="0" borderId="10" xfId="0" applyNumberFormat="1" applyFont="1" applyBorder="1" applyAlignment="1">
      <alignment vertical="top"/>
    </xf>
    <xf numFmtId="3" fontId="5" fillId="2" borderId="10" xfId="0" applyNumberFormat="1" applyFont="1" applyFill="1" applyBorder="1" applyAlignment="1">
      <alignment vertical="top"/>
    </xf>
    <xf numFmtId="3" fontId="5" fillId="0" borderId="55" xfId="0" applyNumberFormat="1" applyFont="1" applyBorder="1" applyAlignment="1">
      <alignment vertical="top"/>
    </xf>
    <xf numFmtId="4" fontId="6" fillId="0" borderId="90" xfId="0" applyNumberFormat="1" applyFont="1" applyBorder="1" applyAlignment="1" applyProtection="1">
      <alignment horizontal="right" vertical="top"/>
    </xf>
    <xf numFmtId="4" fontId="6" fillId="0" borderId="18" xfId="0" applyNumberFormat="1" applyFont="1" applyBorder="1" applyAlignment="1" applyProtection="1">
      <alignment horizontal="right" vertical="top"/>
    </xf>
    <xf numFmtId="177" fontId="6" fillId="0" borderId="37" xfId="0" applyNumberFormat="1" applyFont="1" applyBorder="1" applyAlignment="1" applyProtection="1">
      <alignment horizontal="right" vertical="top"/>
    </xf>
    <xf numFmtId="177" fontId="6" fillId="0" borderId="38" xfId="0" applyNumberFormat="1" applyFont="1" applyBorder="1" applyAlignment="1" applyProtection="1">
      <alignment horizontal="right" vertical="top"/>
    </xf>
    <xf numFmtId="177" fontId="6" fillId="0" borderId="39" xfId="0" applyNumberFormat="1" applyFont="1" applyBorder="1" applyAlignment="1" applyProtection="1">
      <alignment horizontal="right" vertical="top"/>
    </xf>
    <xf numFmtId="4" fontId="6" fillId="0" borderId="53" xfId="0" applyNumberFormat="1" applyFont="1" applyBorder="1" applyAlignment="1" applyProtection="1">
      <alignment horizontal="right" vertical="top"/>
    </xf>
    <xf numFmtId="4" fontId="6" fillId="0" borderId="67" xfId="0" applyNumberFormat="1" applyFont="1" applyBorder="1" applyAlignment="1" applyProtection="1">
      <alignment horizontal="right" vertical="top"/>
    </xf>
    <xf numFmtId="4" fontId="6" fillId="0" borderId="17" xfId="0" applyNumberFormat="1" applyFont="1" applyBorder="1" applyAlignment="1" applyProtection="1">
      <alignment horizontal="right" vertical="top"/>
    </xf>
    <xf numFmtId="4" fontId="6" fillId="0" borderId="52" xfId="0" applyNumberFormat="1" applyFont="1" applyBorder="1" applyAlignment="1" applyProtection="1">
      <alignment horizontal="right" vertical="top"/>
    </xf>
    <xf numFmtId="4" fontId="6" fillId="0" borderId="19" xfId="0" applyNumberFormat="1" applyFont="1" applyBorder="1" applyAlignment="1" applyProtection="1">
      <alignment horizontal="right" vertical="top"/>
    </xf>
    <xf numFmtId="4" fontId="5" fillId="0" borderId="42" xfId="0" applyNumberFormat="1" applyFont="1" applyBorder="1" applyAlignment="1">
      <alignment vertical="top"/>
    </xf>
    <xf numFmtId="4" fontId="5" fillId="0" borderId="18" xfId="0" applyNumberFormat="1" applyFont="1" applyBorder="1" applyAlignment="1">
      <alignment vertical="top"/>
    </xf>
    <xf numFmtId="4" fontId="5" fillId="2" borderId="18" xfId="0" applyNumberFormat="1" applyFont="1" applyFill="1" applyBorder="1" applyAlignment="1">
      <alignment vertical="top"/>
    </xf>
    <xf numFmtId="4" fontId="6" fillId="0" borderId="91" xfId="0" applyNumberFormat="1" applyFont="1" applyBorder="1" applyAlignment="1" applyProtection="1">
      <alignment horizontal="right" vertical="top"/>
    </xf>
    <xf numFmtId="4" fontId="5" fillId="0" borderId="65" xfId="0" applyNumberFormat="1" applyFont="1" applyBorder="1" applyAlignment="1">
      <alignment vertical="top"/>
    </xf>
    <xf numFmtId="4" fontId="5" fillId="0" borderId="79" xfId="0" applyNumberFormat="1" applyFont="1" applyBorder="1" applyAlignment="1">
      <alignment vertical="top"/>
    </xf>
    <xf numFmtId="4" fontId="5" fillId="0" borderId="53" xfId="0" applyNumberFormat="1" applyFont="1" applyBorder="1" applyAlignment="1">
      <alignment vertical="top"/>
    </xf>
    <xf numFmtId="3" fontId="6" fillId="0" borderId="12" xfId="0" applyNumberFormat="1" applyFont="1" applyBorder="1" applyAlignment="1" applyProtection="1">
      <alignment horizontal="right" vertical="top"/>
    </xf>
    <xf numFmtId="3" fontId="6" fillId="2" borderId="12" xfId="0" applyNumberFormat="1" applyFont="1" applyFill="1" applyBorder="1" applyAlignment="1" applyProtection="1">
      <alignment horizontal="right" vertical="top"/>
    </xf>
    <xf numFmtId="3" fontId="6" fillId="0" borderId="92" xfId="0" applyNumberFormat="1" applyFont="1" applyBorder="1" applyAlignment="1" applyProtection="1">
      <alignment horizontal="right" vertical="top"/>
    </xf>
    <xf numFmtId="3" fontId="6" fillId="0" borderId="93" xfId="0" applyNumberFormat="1" applyFont="1" applyBorder="1" applyAlignment="1" applyProtection="1">
      <alignment horizontal="right" vertical="top"/>
    </xf>
    <xf numFmtId="3" fontId="6" fillId="0" borderId="94" xfId="0" applyNumberFormat="1" applyFont="1" applyBorder="1" applyAlignment="1" applyProtection="1">
      <alignment horizontal="right" vertical="top"/>
    </xf>
    <xf numFmtId="3" fontId="5" fillId="0" borderId="78" xfId="0" applyNumberFormat="1" applyFont="1" applyBorder="1" applyAlignment="1">
      <alignment vertical="top"/>
    </xf>
    <xf numFmtId="176" fontId="5" fillId="0" borderId="57" xfId="0" applyNumberFormat="1" applyFont="1" applyBorder="1" applyAlignment="1">
      <alignment vertical="top"/>
    </xf>
    <xf numFmtId="4" fontId="5" fillId="0" borderId="73" xfId="0" applyNumberFormat="1" applyFont="1" applyBorder="1" applyAlignment="1">
      <alignment vertical="top"/>
    </xf>
    <xf numFmtId="3" fontId="5" fillId="0" borderId="71" xfId="0" applyNumberFormat="1" applyFont="1" applyBorder="1" applyAlignment="1">
      <alignment vertical="top"/>
    </xf>
    <xf numFmtId="3" fontId="5" fillId="0" borderId="57" xfId="0" applyNumberFormat="1" applyFont="1" applyBorder="1" applyAlignment="1">
      <alignment vertical="top"/>
    </xf>
    <xf numFmtId="3" fontId="5" fillId="0" borderId="8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56" xfId="0" applyFont="1" applyBorder="1" applyAlignment="1">
      <alignment vertical="top"/>
    </xf>
    <xf numFmtId="0" fontId="5" fillId="0" borderId="55" xfId="0" applyFont="1" applyBorder="1" applyAlignment="1">
      <alignment vertical="top"/>
    </xf>
    <xf numFmtId="4" fontId="5" fillId="0" borderId="74" xfId="0" applyNumberFormat="1" applyFont="1" applyBorder="1" applyAlignment="1">
      <alignment vertical="top"/>
    </xf>
    <xf numFmtId="4" fontId="5" fillId="2" borderId="65" xfId="0" applyNumberFormat="1" applyFont="1" applyFill="1" applyBorder="1" applyAlignment="1">
      <alignment vertical="top"/>
    </xf>
    <xf numFmtId="3" fontId="5" fillId="0" borderId="4" xfId="0" applyNumberFormat="1" applyFont="1" applyBorder="1" applyAlignment="1">
      <alignment vertical="top"/>
    </xf>
    <xf numFmtId="3" fontId="5" fillId="0" borderId="56" xfId="0" applyNumberFormat="1" applyFont="1" applyBorder="1" applyAlignment="1">
      <alignment vertical="top"/>
    </xf>
    <xf numFmtId="176" fontId="5" fillId="0" borderId="55" xfId="0" applyNumberFormat="1" applyFont="1" applyBorder="1" applyAlignment="1">
      <alignment vertical="top"/>
    </xf>
    <xf numFmtId="3" fontId="6" fillId="2" borderId="13" xfId="0" applyNumberFormat="1" applyFont="1" applyFill="1" applyBorder="1" applyAlignment="1" applyProtection="1">
      <alignment horizontal="right" vertical="top"/>
    </xf>
    <xf numFmtId="3" fontId="6" fillId="3" borderId="12" xfId="0" applyNumberFormat="1" applyFont="1" applyFill="1" applyBorder="1" applyAlignment="1" applyProtection="1">
      <alignment horizontal="right" vertical="top"/>
    </xf>
    <xf numFmtId="3" fontId="5" fillId="2" borderId="12" xfId="0" applyNumberFormat="1" applyFont="1" applyFill="1" applyBorder="1" applyAlignment="1">
      <alignment vertical="top"/>
    </xf>
    <xf numFmtId="4" fontId="5" fillId="0" borderId="16" xfId="0" applyNumberFormat="1" applyFont="1" applyBorder="1" applyAlignment="1">
      <alignment vertical="top"/>
    </xf>
    <xf numFmtId="3" fontId="5" fillId="2" borderId="11" xfId="0" applyNumberFormat="1" applyFont="1" applyFill="1" applyBorder="1" applyAlignment="1">
      <alignment vertical="top"/>
    </xf>
    <xf numFmtId="176" fontId="5" fillId="0" borderId="54" xfId="0" applyNumberFormat="1" applyFont="1" applyBorder="1" applyAlignment="1">
      <alignment vertical="top"/>
    </xf>
    <xf numFmtId="4" fontId="5" fillId="0" borderId="57" xfId="0" applyNumberFormat="1" applyFont="1" applyBorder="1" applyAlignment="1">
      <alignment vertical="top"/>
    </xf>
    <xf numFmtId="0" fontId="5" fillId="0" borderId="36" xfId="0" applyNumberFormat="1" applyFont="1" applyBorder="1" applyAlignment="1">
      <alignment horizontal="right" vertical="top"/>
    </xf>
    <xf numFmtId="0" fontId="5" fillId="0" borderId="12" xfId="0" applyNumberFormat="1" applyFont="1" applyBorder="1" applyAlignment="1">
      <alignment horizontal="right" vertical="top"/>
    </xf>
    <xf numFmtId="0" fontId="5" fillId="0" borderId="13" xfId="0" applyNumberFormat="1" applyFont="1" applyBorder="1" applyAlignment="1">
      <alignment horizontal="right" vertical="top"/>
    </xf>
    <xf numFmtId="3" fontId="6" fillId="0" borderId="0" xfId="0" applyNumberFormat="1" applyFont="1" applyBorder="1" applyAlignment="1" applyProtection="1">
      <alignment horizontal="right" vertical="top"/>
    </xf>
    <xf numFmtId="3" fontId="6" fillId="2" borderId="75" xfId="0" applyNumberFormat="1" applyFont="1" applyFill="1" applyBorder="1" applyAlignment="1" applyProtection="1">
      <alignment horizontal="right" vertical="top"/>
    </xf>
    <xf numFmtId="3" fontId="6" fillId="3" borderId="5" xfId="0" applyNumberFormat="1" applyFont="1" applyFill="1" applyBorder="1" applyAlignment="1" applyProtection="1">
      <alignment horizontal="right" vertical="top"/>
    </xf>
    <xf numFmtId="177" fontId="6" fillId="0" borderId="0" xfId="0" applyNumberFormat="1" applyFont="1" applyBorder="1" applyAlignment="1" applyProtection="1">
      <alignment horizontal="right" vertical="top"/>
    </xf>
    <xf numFmtId="4" fontId="6" fillId="0" borderId="0" xfId="0" applyNumberFormat="1" applyFont="1" applyBorder="1" applyAlignment="1" applyProtection="1">
      <alignment horizontal="right" vertical="top"/>
    </xf>
    <xf numFmtId="4" fontId="6" fillId="0" borderId="8" xfId="0" applyNumberFormat="1" applyFont="1" applyBorder="1" applyAlignment="1" applyProtection="1">
      <alignment horizontal="right" vertical="top"/>
    </xf>
    <xf numFmtId="3" fontId="5" fillId="0" borderId="0" xfId="0" applyNumberFormat="1" applyFont="1" applyBorder="1" applyAlignment="1">
      <alignment vertical="top"/>
    </xf>
    <xf numFmtId="3" fontId="5" fillId="2" borderId="36" xfId="0" applyNumberFormat="1" applyFont="1" applyFill="1" applyBorder="1" applyAlignment="1">
      <alignment vertical="top"/>
    </xf>
    <xf numFmtId="4" fontId="6" fillId="0" borderId="23" xfId="0" applyNumberFormat="1" applyFont="1" applyBorder="1" applyAlignment="1" applyProtection="1">
      <alignment horizontal="right" vertical="top"/>
    </xf>
    <xf numFmtId="4" fontId="6" fillId="0" borderId="16" xfId="0" applyNumberFormat="1" applyFont="1" applyBorder="1" applyAlignment="1" applyProtection="1">
      <alignment horizontal="right" vertical="top"/>
    </xf>
    <xf numFmtId="3" fontId="5" fillId="0" borderId="54" xfId="0" applyNumberFormat="1" applyFont="1" applyBorder="1" applyAlignment="1"/>
    <xf numFmtId="4" fontId="5" fillId="0" borderId="53" xfId="0" applyNumberFormat="1" applyFont="1" applyBorder="1" applyAlignment="1"/>
    <xf numFmtId="176" fontId="5" fillId="0" borderId="57" xfId="0" applyNumberFormat="1" applyFont="1" applyBorder="1" applyAlignment="1"/>
    <xf numFmtId="4" fontId="5" fillId="0" borderId="79" xfId="0" applyNumberFormat="1" applyFont="1" applyBorder="1" applyAlignment="1"/>
    <xf numFmtId="176" fontId="5" fillId="0" borderId="54" xfId="0" applyNumberFormat="1" applyFont="1" applyBorder="1" applyAlignment="1"/>
    <xf numFmtId="0" fontId="5" fillId="0" borderId="31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Fill="1"/>
    <xf numFmtId="0" fontId="5" fillId="0" borderId="1" xfId="0" quotePrefix="1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3" fontId="5" fillId="0" borderId="75" xfId="0" applyNumberFormat="1" applyFont="1" applyFill="1" applyBorder="1" applyAlignment="1">
      <alignment horizontal="right" vertical="top"/>
    </xf>
    <xf numFmtId="3" fontId="5" fillId="0" borderId="54" xfId="0" applyNumberFormat="1" applyFont="1" applyFill="1" applyBorder="1" applyAlignment="1">
      <alignment horizontal="right" vertical="top"/>
    </xf>
    <xf numFmtId="4" fontId="5" fillId="0" borderId="73" xfId="0" applyNumberFormat="1" applyFont="1" applyFill="1" applyBorder="1" applyAlignment="1">
      <alignment horizontal="right" vertical="top"/>
    </xf>
    <xf numFmtId="4" fontId="5" fillId="0" borderId="55" xfId="0" applyNumberFormat="1" applyFont="1" applyFill="1" applyBorder="1" applyAlignment="1">
      <alignment horizontal="right" vertical="top"/>
    </xf>
    <xf numFmtId="178" fontId="5" fillId="0" borderId="73" xfId="0" applyNumberFormat="1" applyFont="1" applyFill="1" applyBorder="1" applyAlignment="1">
      <alignment horizontal="right" vertical="top"/>
    </xf>
    <xf numFmtId="178" fontId="5" fillId="0" borderId="55" xfId="0" applyNumberFormat="1" applyFont="1" applyFill="1" applyBorder="1" applyAlignment="1">
      <alignment horizontal="right" vertical="top"/>
    </xf>
    <xf numFmtId="4" fontId="5" fillId="0" borderId="42" xfId="0" applyNumberFormat="1" applyFont="1" applyFill="1" applyBorder="1" applyAlignment="1">
      <alignment horizontal="right" vertical="top"/>
    </xf>
    <xf numFmtId="4" fontId="5" fillId="0" borderId="53" xfId="0" applyNumberFormat="1" applyFont="1" applyFill="1" applyBorder="1" applyAlignment="1">
      <alignment horizontal="right" vertical="top"/>
    </xf>
    <xf numFmtId="178" fontId="5" fillId="0" borderId="89" xfId="0" applyNumberFormat="1" applyFont="1" applyFill="1" applyBorder="1"/>
    <xf numFmtId="178" fontId="5" fillId="0" borderId="57" xfId="0" applyNumberFormat="1" applyFont="1" applyFill="1" applyBorder="1"/>
    <xf numFmtId="178" fontId="5" fillId="0" borderId="73" xfId="0" applyNumberFormat="1" applyFont="1" applyFill="1" applyBorder="1"/>
    <xf numFmtId="178" fontId="5" fillId="0" borderId="55" xfId="0" applyNumberFormat="1" applyFont="1" applyFill="1" applyBorder="1"/>
    <xf numFmtId="178" fontId="5" fillId="0" borderId="75" xfId="0" applyNumberFormat="1" applyFont="1" applyFill="1" applyBorder="1"/>
    <xf numFmtId="178" fontId="5" fillId="0" borderId="54" xfId="0" applyNumberFormat="1" applyFont="1" applyFill="1" applyBorder="1"/>
    <xf numFmtId="4" fontId="5" fillId="0" borderId="89" xfId="0" applyNumberFormat="1" applyFont="1" applyFill="1" applyBorder="1" applyAlignment="1">
      <alignment horizontal="right" vertical="top"/>
    </xf>
    <xf numFmtId="4" fontId="5" fillId="0" borderId="57" xfId="0" applyNumberFormat="1" applyFont="1" applyFill="1" applyBorder="1" applyAlignment="1">
      <alignment horizontal="right" vertical="top"/>
    </xf>
    <xf numFmtId="0" fontId="0" fillId="0" borderId="0" xfId="0" applyFill="1"/>
    <xf numFmtId="0" fontId="5" fillId="0" borderId="58" xfId="0" quotePrefix="1" applyFont="1" applyFill="1" applyBorder="1" applyAlignment="1">
      <alignment horizontal="center" vertical="center"/>
    </xf>
    <xf numFmtId="176" fontId="5" fillId="0" borderId="75" xfId="0" applyNumberFormat="1" applyFont="1" applyFill="1" applyBorder="1"/>
    <xf numFmtId="176" fontId="5" fillId="0" borderId="54" xfId="0" applyNumberFormat="1" applyFont="1" applyFill="1" applyBorder="1"/>
    <xf numFmtId="4" fontId="5" fillId="0" borderId="42" xfId="0" applyNumberFormat="1" applyFont="1" applyFill="1" applyBorder="1"/>
    <xf numFmtId="4" fontId="5" fillId="0" borderId="53" xfId="0" applyNumberFormat="1" applyFont="1" applyFill="1" applyBorder="1"/>
    <xf numFmtId="176" fontId="5" fillId="0" borderId="89" xfId="0" applyNumberFormat="1" applyFont="1" applyFill="1" applyBorder="1"/>
    <xf numFmtId="176" fontId="5" fillId="0" borderId="57" xfId="0" applyNumberFormat="1" applyFont="1" applyFill="1" applyBorder="1"/>
    <xf numFmtId="4" fontId="5" fillId="0" borderId="73" xfId="0" applyNumberFormat="1" applyFont="1" applyFill="1" applyBorder="1"/>
    <xf numFmtId="4" fontId="5" fillId="0" borderId="55" xfId="0" applyNumberFormat="1" applyFont="1" applyFill="1" applyBorder="1"/>
    <xf numFmtId="176" fontId="5" fillId="0" borderId="73" xfId="0" applyNumberFormat="1" applyFont="1" applyFill="1" applyBorder="1"/>
    <xf numFmtId="176" fontId="5" fillId="0" borderId="55" xfId="0" applyNumberFormat="1" applyFont="1" applyFill="1" applyBorder="1"/>
    <xf numFmtId="4" fontId="5" fillId="0" borderId="74" xfId="0" applyNumberFormat="1" applyFont="1" applyFill="1" applyBorder="1"/>
    <xf numFmtId="4" fontId="5" fillId="0" borderId="79" xfId="0" applyNumberFormat="1" applyFont="1" applyFill="1" applyBorder="1"/>
    <xf numFmtId="3" fontId="5" fillId="0" borderId="89" xfId="0" applyNumberFormat="1" applyFont="1" applyFill="1" applyBorder="1" applyAlignment="1"/>
    <xf numFmtId="3" fontId="5" fillId="0" borderId="57" xfId="0" applyNumberFormat="1" applyFont="1" applyFill="1" applyBorder="1" applyAlignment="1"/>
    <xf numFmtId="4" fontId="5" fillId="0" borderId="95" xfId="0" applyNumberFormat="1" applyFont="1" applyFill="1" applyBorder="1" applyAlignment="1"/>
    <xf numFmtId="4" fontId="5" fillId="0" borderId="61" xfId="0" applyNumberFormat="1" applyFont="1" applyFill="1" applyBorder="1" applyAlignment="1"/>
    <xf numFmtId="4" fontId="5" fillId="0" borderId="74" xfId="0" applyNumberFormat="1" applyFont="1" applyFill="1" applyBorder="1" applyAlignment="1"/>
    <xf numFmtId="4" fontId="5" fillId="0" borderId="79" xfId="0" applyNumberFormat="1" applyFont="1" applyFill="1" applyBorder="1" applyAlignment="1"/>
    <xf numFmtId="4" fontId="5" fillId="0" borderId="42" xfId="0" applyNumberFormat="1" applyFont="1" applyFill="1" applyBorder="1" applyAlignment="1"/>
    <xf numFmtId="4" fontId="5" fillId="0" borderId="53" xfId="0" applyNumberFormat="1" applyFont="1" applyFill="1" applyBorder="1" applyAlignment="1"/>
    <xf numFmtId="0" fontId="5" fillId="0" borderId="96" xfId="0" applyFont="1" applyBorder="1" applyAlignment="1">
      <alignment horizontal="center"/>
    </xf>
    <xf numFmtId="3" fontId="5" fillId="0" borderId="97" xfId="0" applyNumberFormat="1" applyFont="1" applyBorder="1"/>
    <xf numFmtId="4" fontId="5" fillId="0" borderId="91" xfId="0" applyNumberFormat="1" applyFont="1" applyBorder="1"/>
    <xf numFmtId="4" fontId="5" fillId="0" borderId="87" xfId="0" applyNumberFormat="1" applyFont="1" applyBorder="1"/>
    <xf numFmtId="3" fontId="5" fillId="0" borderId="60" xfId="0" applyNumberFormat="1" applyFont="1" applyBorder="1"/>
    <xf numFmtId="4" fontId="5" fillId="0" borderId="98" xfId="0" applyNumberFormat="1" applyFont="1" applyBorder="1"/>
    <xf numFmtId="3" fontId="5" fillId="0" borderId="87" xfId="0" applyNumberFormat="1" applyFont="1" applyBorder="1"/>
    <xf numFmtId="0" fontId="5" fillId="0" borderId="2" xfId="0" quotePrefix="1" applyFont="1" applyFill="1" applyBorder="1" applyAlignment="1">
      <alignment horizontal="center" vertical="center"/>
    </xf>
    <xf numFmtId="176" fontId="5" fillId="0" borderId="20" xfId="0" applyNumberFormat="1" applyFont="1" applyFill="1" applyBorder="1"/>
    <xf numFmtId="4" fontId="5" fillId="0" borderId="87" xfId="0" applyNumberFormat="1" applyFont="1" applyFill="1" applyBorder="1"/>
    <xf numFmtId="176" fontId="5" fillId="0" borderId="87" xfId="0" applyNumberFormat="1" applyFont="1" applyFill="1" applyBorder="1"/>
    <xf numFmtId="4" fontId="5" fillId="0" borderId="52" xfId="0" applyNumberFormat="1" applyFont="1" applyFill="1" applyBorder="1"/>
    <xf numFmtId="176" fontId="5" fillId="0" borderId="60" xfId="0" applyNumberFormat="1" applyFont="1" applyFill="1" applyBorder="1"/>
    <xf numFmtId="4" fontId="5" fillId="0" borderId="98" xfId="0" applyNumberFormat="1" applyFont="1" applyFill="1" applyBorder="1"/>
    <xf numFmtId="176" fontId="5" fillId="0" borderId="4" xfId="0" applyNumberFormat="1" applyFont="1" applyFill="1" applyBorder="1"/>
    <xf numFmtId="4" fontId="5" fillId="0" borderId="16" xfId="0" applyNumberFormat="1" applyFont="1" applyFill="1" applyBorder="1"/>
    <xf numFmtId="176" fontId="5" fillId="0" borderId="36" xfId="0" applyNumberFormat="1" applyFont="1" applyFill="1" applyBorder="1"/>
    <xf numFmtId="0" fontId="5" fillId="0" borderId="32" xfId="0" quotePrefix="1" applyFont="1" applyFill="1" applyBorder="1" applyAlignment="1">
      <alignment horizontal="center" vertical="center"/>
    </xf>
    <xf numFmtId="176" fontId="5" fillId="0" borderId="6" xfId="0" applyNumberFormat="1" applyFont="1" applyFill="1" applyBorder="1"/>
    <xf numFmtId="4" fontId="5" fillId="0" borderId="10" xfId="0" applyNumberFormat="1" applyFont="1" applyFill="1" applyBorder="1"/>
    <xf numFmtId="176" fontId="5" fillId="0" borderId="10" xfId="0" applyNumberFormat="1" applyFont="1" applyFill="1" applyBorder="1"/>
    <xf numFmtId="4" fontId="5" fillId="0" borderId="18" xfId="0" applyNumberFormat="1" applyFont="1" applyFill="1" applyBorder="1"/>
    <xf numFmtId="176" fontId="5" fillId="0" borderId="13" xfId="0" applyNumberFormat="1" applyFont="1" applyFill="1" applyBorder="1"/>
    <xf numFmtId="4" fontId="5" fillId="0" borderId="65" xfId="0" applyNumberFormat="1" applyFont="1" applyFill="1" applyBorder="1"/>
    <xf numFmtId="0" fontId="5" fillId="0" borderId="68" xfId="0" quotePrefix="1" applyFont="1" applyFill="1" applyBorder="1" applyAlignment="1">
      <alignment horizontal="center" vertical="center"/>
    </xf>
    <xf numFmtId="176" fontId="5" fillId="0" borderId="66" xfId="0" applyNumberFormat="1" applyFont="1" applyFill="1" applyBorder="1"/>
    <xf numFmtId="4" fontId="5" fillId="0" borderId="69" xfId="0" applyNumberFormat="1" applyFont="1" applyFill="1" applyBorder="1"/>
    <xf numFmtId="176" fontId="5" fillId="0" borderId="69" xfId="0" applyNumberFormat="1" applyFont="1" applyFill="1" applyBorder="1"/>
    <xf numFmtId="4" fontId="5" fillId="0" borderId="67" xfId="0" applyNumberFormat="1" applyFont="1" applyFill="1" applyBorder="1"/>
    <xf numFmtId="176" fontId="5" fillId="0" borderId="71" xfId="0" applyNumberFormat="1" applyFont="1" applyFill="1" applyBorder="1"/>
    <xf numFmtId="4" fontId="5" fillId="0" borderId="99" xfId="0" applyNumberFormat="1" applyFont="1" applyFill="1" applyBorder="1"/>
    <xf numFmtId="37" fontId="6" fillId="0" borderId="68" xfId="0" applyNumberFormat="1" applyFont="1" applyBorder="1" applyAlignment="1" applyProtection="1">
      <alignment horizontal="center" vertical="center" shrinkToFit="1"/>
    </xf>
    <xf numFmtId="3" fontId="6" fillId="0" borderId="20" xfId="0" applyNumberFormat="1" applyFont="1" applyBorder="1" applyAlignment="1" applyProtection="1">
      <alignment horizontal="right" vertical="top"/>
    </xf>
    <xf numFmtId="4" fontId="6" fillId="0" borderId="98" xfId="0" applyNumberFormat="1" applyFont="1" applyBorder="1" applyAlignment="1" applyProtection="1">
      <alignment horizontal="right" vertical="top"/>
    </xf>
    <xf numFmtId="3" fontId="5" fillId="0" borderId="3" xfId="0" applyNumberFormat="1" applyFont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/>
    </xf>
    <xf numFmtId="3" fontId="5" fillId="0" borderId="7" xfId="0" applyNumberFormat="1" applyFont="1" applyBorder="1" applyAlignment="1">
      <alignment horizontal="right" vertical="top"/>
    </xf>
    <xf numFmtId="4" fontId="5" fillId="0" borderId="19" xfId="0" applyNumberFormat="1" applyFont="1" applyBorder="1" applyAlignment="1">
      <alignment horizontal="right" vertical="top"/>
    </xf>
    <xf numFmtId="176" fontId="5" fillId="0" borderId="7" xfId="0" applyNumberFormat="1" applyFont="1" applyBorder="1" applyAlignment="1">
      <alignment horizontal="right" vertical="top"/>
    </xf>
    <xf numFmtId="4" fontId="5" fillId="0" borderId="11" xfId="0" applyNumberFormat="1" applyFont="1" applyBorder="1" applyAlignment="1">
      <alignment horizontal="right" vertical="top"/>
    </xf>
    <xf numFmtId="3" fontId="6" fillId="0" borderId="60" xfId="0" applyNumberFormat="1" applyFont="1" applyBorder="1" applyAlignment="1" applyProtection="1">
      <alignment horizontal="right" vertical="top"/>
    </xf>
    <xf numFmtId="4" fontId="6" fillId="0" borderId="100" xfId="0" applyNumberFormat="1" applyFont="1" applyBorder="1" applyAlignment="1" applyProtection="1">
      <alignment horizontal="right" vertical="top"/>
    </xf>
    <xf numFmtId="3" fontId="6" fillId="0" borderId="100" xfId="0" applyNumberFormat="1" applyFont="1" applyBorder="1" applyAlignment="1" applyProtection="1">
      <alignment horizontal="right" vertical="top"/>
    </xf>
    <xf numFmtId="3" fontId="5" fillId="0" borderId="20" xfId="0" applyNumberFormat="1" applyFont="1" applyFill="1" applyBorder="1" applyAlignment="1">
      <alignment horizontal="right" vertical="top"/>
    </xf>
    <xf numFmtId="4" fontId="5" fillId="0" borderId="87" xfId="0" applyNumberFormat="1" applyFont="1" applyFill="1" applyBorder="1" applyAlignment="1">
      <alignment horizontal="right" vertical="top"/>
    </xf>
    <xf numFmtId="178" fontId="5" fillId="0" borderId="87" xfId="0" applyNumberFormat="1" applyFont="1" applyFill="1" applyBorder="1" applyAlignment="1">
      <alignment horizontal="right" vertical="top"/>
    </xf>
    <xf numFmtId="4" fontId="5" fillId="0" borderId="52" xfId="0" applyNumberFormat="1" applyFont="1" applyFill="1" applyBorder="1" applyAlignment="1">
      <alignment horizontal="right" vertical="top"/>
    </xf>
    <xf numFmtId="178" fontId="5" fillId="0" borderId="60" xfId="0" applyNumberFormat="1" applyFont="1" applyFill="1" applyBorder="1"/>
    <xf numFmtId="178" fontId="5" fillId="0" borderId="87" xfId="0" applyNumberFormat="1" applyFont="1" applyFill="1" applyBorder="1"/>
    <xf numFmtId="178" fontId="5" fillId="0" borderId="20" xfId="0" applyNumberFormat="1" applyFont="1" applyFill="1" applyBorder="1"/>
    <xf numFmtId="4" fontId="5" fillId="0" borderId="60" xfId="0" applyNumberFormat="1" applyFont="1" applyFill="1" applyBorder="1" applyAlignment="1">
      <alignment horizontal="right" vertical="top"/>
    </xf>
    <xf numFmtId="3" fontId="5" fillId="0" borderId="6" xfId="0" applyNumberFormat="1" applyFont="1" applyFill="1" applyBorder="1" applyAlignment="1">
      <alignment horizontal="right" vertical="top"/>
    </xf>
    <xf numFmtId="4" fontId="5" fillId="0" borderId="10" xfId="0" applyNumberFormat="1" applyFont="1" applyFill="1" applyBorder="1" applyAlignment="1">
      <alignment horizontal="right" vertical="top"/>
    </xf>
    <xf numFmtId="178" fontId="5" fillId="0" borderId="10" xfId="0" applyNumberFormat="1" applyFont="1" applyFill="1" applyBorder="1" applyAlignment="1">
      <alignment horizontal="right" vertical="top"/>
    </xf>
    <xf numFmtId="4" fontId="5" fillId="0" borderId="18" xfId="0" applyNumberFormat="1" applyFont="1" applyFill="1" applyBorder="1" applyAlignment="1">
      <alignment horizontal="right" vertical="top"/>
    </xf>
    <xf numFmtId="178" fontId="5" fillId="0" borderId="13" xfId="0" applyNumberFormat="1" applyFont="1" applyFill="1" applyBorder="1"/>
    <xf numFmtId="178" fontId="5" fillId="0" borderId="10" xfId="0" applyNumberFormat="1" applyFont="1" applyFill="1" applyBorder="1"/>
    <xf numFmtId="178" fontId="5" fillId="0" borderId="6" xfId="0" applyNumberFormat="1" applyFont="1" applyFill="1" applyBorder="1"/>
    <xf numFmtId="4" fontId="5" fillId="0" borderId="13" xfId="0" applyNumberFormat="1" applyFont="1" applyFill="1" applyBorder="1" applyAlignment="1">
      <alignment horizontal="right" vertical="top"/>
    </xf>
    <xf numFmtId="37" fontId="6" fillId="0" borderId="96" xfId="0" applyNumberFormat="1" applyFont="1" applyBorder="1" applyAlignment="1" applyProtection="1">
      <alignment horizontal="center" vertical="center" shrinkToFit="1"/>
    </xf>
    <xf numFmtId="3" fontId="6" fillId="0" borderId="97" xfId="0" applyNumberFormat="1" applyFont="1" applyBorder="1" applyAlignment="1" applyProtection="1">
      <alignment horizontal="right" vertical="top"/>
    </xf>
    <xf numFmtId="0" fontId="5" fillId="0" borderId="64" xfId="0" applyFont="1" applyBorder="1" applyAlignment="1">
      <alignment horizontal="center" vertical="center"/>
    </xf>
    <xf numFmtId="3" fontId="5" fillId="0" borderId="3" xfId="0" applyNumberFormat="1" applyFont="1" applyBorder="1" applyAlignment="1"/>
    <xf numFmtId="4" fontId="5" fillId="0" borderId="19" xfId="0" applyNumberFormat="1" applyFont="1" applyBorder="1" applyAlignment="1"/>
    <xf numFmtId="176" fontId="5" fillId="0" borderId="11" xfId="0" applyNumberFormat="1" applyFont="1" applyBorder="1" applyAlignment="1"/>
    <xf numFmtId="4" fontId="5" fillId="0" borderId="91" xfId="0" applyNumberFormat="1" applyFont="1" applyBorder="1" applyAlignment="1"/>
    <xf numFmtId="176" fontId="5" fillId="0" borderId="3" xfId="0" applyNumberFormat="1" applyFont="1" applyBorder="1" applyAlignment="1"/>
    <xf numFmtId="3" fontId="5" fillId="0" borderId="60" xfId="0" applyNumberFormat="1" applyFont="1" applyFill="1" applyBorder="1" applyAlignment="1"/>
    <xf numFmtId="4" fontId="5" fillId="0" borderId="21" xfId="0" applyNumberFormat="1" applyFont="1" applyFill="1" applyBorder="1" applyAlignment="1"/>
    <xf numFmtId="4" fontId="5" fillId="0" borderId="98" xfId="0" applyNumberFormat="1" applyFont="1" applyFill="1" applyBorder="1" applyAlignment="1"/>
    <xf numFmtId="4" fontId="5" fillId="0" borderId="52" xfId="0" applyNumberFormat="1" applyFont="1" applyFill="1" applyBorder="1" applyAlignment="1"/>
    <xf numFmtId="3" fontId="5" fillId="0" borderId="13" xfId="0" applyNumberFormat="1" applyFont="1" applyFill="1" applyBorder="1" applyAlignment="1"/>
    <xf numFmtId="4" fontId="5" fillId="0" borderId="24" xfId="0" applyNumberFormat="1" applyFont="1" applyFill="1" applyBorder="1" applyAlignment="1"/>
    <xf numFmtId="4" fontId="5" fillId="0" borderId="65" xfId="0" applyNumberFormat="1" applyFont="1" applyFill="1" applyBorder="1" applyAlignment="1"/>
    <xf numFmtId="4" fontId="5" fillId="0" borderId="18" xfId="0" applyNumberFormat="1" applyFont="1" applyFill="1" applyBorder="1" applyAlignment="1"/>
    <xf numFmtId="4" fontId="5" fillId="0" borderId="17" xfId="0" applyNumberFormat="1" applyFont="1" applyFill="1" applyBorder="1" applyAlignment="1"/>
    <xf numFmtId="3" fontId="5" fillId="0" borderId="88" xfId="0" applyNumberFormat="1" applyFont="1" applyBorder="1"/>
    <xf numFmtId="0" fontId="5" fillId="0" borderId="88" xfId="0" applyFont="1" applyBorder="1"/>
    <xf numFmtId="4" fontId="6" fillId="0" borderId="101" xfId="0" applyNumberFormat="1" applyFont="1" applyBorder="1" applyAlignment="1" applyProtection="1">
      <alignment horizontal="right" vertical="top"/>
    </xf>
    <xf numFmtId="4" fontId="6" fillId="0" borderId="102" xfId="0" applyNumberFormat="1" applyFont="1" applyBorder="1" applyAlignment="1" applyProtection="1">
      <alignment horizontal="right" vertical="top"/>
    </xf>
    <xf numFmtId="3" fontId="6" fillId="0" borderId="103" xfId="0" applyNumberFormat="1" applyFont="1" applyBorder="1" applyAlignment="1" applyProtection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4" fontId="5" fillId="0" borderId="8" xfId="0" applyNumberFormat="1" applyFont="1" applyFill="1" applyBorder="1" applyAlignment="1">
      <alignment horizontal="right" vertical="top"/>
    </xf>
    <xf numFmtId="178" fontId="5" fillId="0" borderId="8" xfId="0" applyNumberFormat="1" applyFont="1" applyFill="1" applyBorder="1" applyAlignment="1">
      <alignment horizontal="right" vertical="top"/>
    </xf>
    <xf numFmtId="4" fontId="5" fillId="0" borderId="16" xfId="0" applyNumberFormat="1" applyFont="1" applyFill="1" applyBorder="1" applyAlignment="1">
      <alignment horizontal="right" vertical="top"/>
    </xf>
    <xf numFmtId="178" fontId="5" fillId="0" borderId="36" xfId="0" applyNumberFormat="1" applyFont="1" applyFill="1" applyBorder="1"/>
    <xf numFmtId="178" fontId="5" fillId="0" borderId="8" xfId="0" applyNumberFormat="1" applyFont="1" applyFill="1" applyBorder="1"/>
    <xf numFmtId="178" fontId="5" fillId="0" borderId="4" xfId="0" applyNumberFormat="1" applyFont="1" applyFill="1" applyBorder="1"/>
    <xf numFmtId="4" fontId="5" fillId="0" borderId="36" xfId="0" applyNumberFormat="1" applyFont="1" applyFill="1" applyBorder="1" applyAlignment="1">
      <alignment horizontal="right" vertical="top"/>
    </xf>
    <xf numFmtId="4" fontId="6" fillId="0" borderId="102" xfId="0" applyNumberFormat="1" applyFont="1" applyBorder="1" applyAlignment="1" applyProtection="1">
      <alignment horizontal="right" vertical="center"/>
    </xf>
    <xf numFmtId="3" fontId="5" fillId="0" borderId="36" xfId="0" applyNumberFormat="1" applyFont="1" applyFill="1" applyBorder="1" applyAlignment="1"/>
    <xf numFmtId="4" fontId="5" fillId="0" borderId="22" xfId="0" applyNumberFormat="1" applyFont="1" applyFill="1" applyBorder="1" applyAlignment="1"/>
    <xf numFmtId="4" fontId="5" fillId="0" borderId="104" xfId="0" applyNumberFormat="1" applyFont="1" applyFill="1" applyBorder="1" applyAlignment="1"/>
    <xf numFmtId="4" fontId="5" fillId="0" borderId="16" xfId="0" applyNumberFormat="1" applyFont="1" applyFill="1" applyBorder="1" applyAlignment="1"/>
    <xf numFmtId="4" fontId="5" fillId="0" borderId="100" xfId="0" applyNumberFormat="1" applyFont="1" applyBorder="1"/>
    <xf numFmtId="3" fontId="5" fillId="0" borderId="103" xfId="0" applyNumberFormat="1" applyFont="1" applyBorder="1"/>
    <xf numFmtId="4" fontId="5" fillId="0" borderId="101" xfId="0" applyNumberFormat="1" applyFont="1" applyBorder="1"/>
    <xf numFmtId="3" fontId="5" fillId="0" borderId="100" xfId="0" applyNumberFormat="1" applyFont="1" applyBorder="1"/>
    <xf numFmtId="4" fontId="5" fillId="0" borderId="102" xfId="0" applyNumberFormat="1" applyFont="1" applyBorder="1"/>
    <xf numFmtId="0" fontId="5" fillId="0" borderId="31" xfId="0" quotePrefix="1" applyFont="1" applyFill="1" applyBorder="1" applyAlignment="1">
      <alignment horizontal="center" vertical="center"/>
    </xf>
    <xf numFmtId="176" fontId="5" fillId="0" borderId="5" xfId="0" applyNumberFormat="1" applyFont="1" applyFill="1" applyBorder="1"/>
    <xf numFmtId="4" fontId="5" fillId="0" borderId="17" xfId="0" applyNumberFormat="1" applyFont="1" applyFill="1" applyBorder="1"/>
    <xf numFmtId="176" fontId="5" fillId="0" borderId="12" xfId="0" applyNumberFormat="1" applyFont="1" applyFill="1" applyBorder="1"/>
    <xf numFmtId="4" fontId="5" fillId="0" borderId="105" xfId="0" applyNumberFormat="1" applyFont="1" applyBorder="1"/>
    <xf numFmtId="0" fontId="5" fillId="0" borderId="96" xfId="0" quotePrefix="1" applyFont="1" applyFill="1" applyBorder="1" applyAlignment="1">
      <alignment horizontal="center" vertical="center"/>
    </xf>
    <xf numFmtId="3" fontId="5" fillId="0" borderId="97" xfId="0" applyNumberFormat="1" applyFont="1" applyFill="1" applyBorder="1" applyAlignment="1">
      <alignment horizontal="right" vertical="top"/>
    </xf>
    <xf numFmtId="4" fontId="5" fillId="0" borderId="100" xfId="0" applyNumberFormat="1" applyFont="1" applyFill="1" applyBorder="1" applyAlignment="1">
      <alignment horizontal="right" vertical="top"/>
    </xf>
    <xf numFmtId="178" fontId="5" fillId="0" borderId="100" xfId="0" applyNumberFormat="1" applyFont="1" applyFill="1" applyBorder="1" applyAlignment="1">
      <alignment horizontal="right" vertical="top"/>
    </xf>
    <xf numFmtId="4" fontId="5" fillId="0" borderId="102" xfId="0" applyNumberFormat="1" applyFont="1" applyFill="1" applyBorder="1" applyAlignment="1">
      <alignment horizontal="right" vertical="top"/>
    </xf>
    <xf numFmtId="178" fontId="5" fillId="0" borderId="103" xfId="0" applyNumberFormat="1" applyFont="1" applyFill="1" applyBorder="1"/>
    <xf numFmtId="178" fontId="5" fillId="0" borderId="100" xfId="0" applyNumberFormat="1" applyFont="1" applyFill="1" applyBorder="1"/>
    <xf numFmtId="178" fontId="5" fillId="0" borderId="97" xfId="0" applyNumberFormat="1" applyFont="1" applyFill="1" applyBorder="1"/>
    <xf numFmtId="4" fontId="5" fillId="0" borderId="103" xfId="0" applyNumberFormat="1" applyFont="1" applyFill="1" applyBorder="1" applyAlignment="1">
      <alignment horizontal="right" vertical="top"/>
    </xf>
    <xf numFmtId="177" fontId="5" fillId="0" borderId="22" xfId="0" applyNumberFormat="1" applyFont="1" applyFill="1" applyBorder="1" applyAlignment="1"/>
    <xf numFmtId="4" fontId="6" fillId="0" borderId="102" xfId="0" applyNumberFormat="1" applyFont="1" applyBorder="1" applyAlignment="1" applyProtection="1">
      <alignment horizontal="right"/>
    </xf>
    <xf numFmtId="3" fontId="5" fillId="0" borderId="97" xfId="0" applyNumberFormat="1" applyFont="1" applyBorder="1" applyAlignment="1"/>
    <xf numFmtId="176" fontId="5" fillId="0" borderId="8" xfId="0" applyNumberFormat="1" applyFont="1" applyBorder="1" applyAlignment="1"/>
    <xf numFmtId="3" fontId="5" fillId="0" borderId="97" xfId="0" applyNumberFormat="1" applyFont="1" applyFill="1" applyBorder="1" applyAlignment="1"/>
    <xf numFmtId="177" fontId="5" fillId="0" borderId="105" xfId="0" applyNumberFormat="1" applyFont="1" applyFill="1" applyBorder="1" applyAlignment="1"/>
    <xf numFmtId="4" fontId="5" fillId="0" borderId="102" xfId="0" applyNumberFormat="1" applyFont="1" applyFill="1" applyBorder="1" applyAlignment="1"/>
    <xf numFmtId="3" fontId="0" fillId="0" borderId="55" xfId="0" applyNumberFormat="1" applyBorder="1"/>
    <xf numFmtId="176" fontId="0" fillId="0" borderId="55" xfId="0" applyNumberFormat="1" applyBorder="1" applyAlignment="1">
      <alignment vertical="center"/>
    </xf>
    <xf numFmtId="176" fontId="5" fillId="0" borderId="73" xfId="0" applyNumberFormat="1" applyFont="1" applyBorder="1" applyAlignment="1"/>
    <xf numFmtId="3" fontId="5" fillId="0" borderId="73" xfId="0" applyNumberFormat="1" applyFont="1" applyBorder="1"/>
    <xf numFmtId="176" fontId="5" fillId="0" borderId="100" xfId="0" applyNumberFormat="1" applyFont="1" applyBorder="1" applyAlignment="1">
      <alignment vertical="center"/>
    </xf>
    <xf numFmtId="0" fontId="5" fillId="0" borderId="106" xfId="0" quotePrefix="1" applyFont="1" applyFill="1" applyBorder="1" applyAlignment="1">
      <alignment horizontal="center" vertical="center"/>
    </xf>
    <xf numFmtId="179" fontId="5" fillId="0" borderId="6" xfId="0" applyNumberFormat="1" applyFont="1" applyBorder="1" applyAlignment="1"/>
    <xf numFmtId="3" fontId="0" fillId="0" borderId="100" xfId="0" applyNumberFormat="1" applyBorder="1"/>
    <xf numFmtId="176" fontId="0" fillId="0" borderId="100" xfId="0" applyNumberFormat="1" applyBorder="1" applyAlignment="1">
      <alignment vertical="center"/>
    </xf>
    <xf numFmtId="3" fontId="5" fillId="0" borderId="75" xfId="0" applyNumberFormat="1" applyFont="1" applyFill="1" applyBorder="1" applyAlignment="1"/>
    <xf numFmtId="177" fontId="5" fillId="0" borderId="95" xfId="0" applyNumberFormat="1" applyFont="1" applyFill="1" applyBorder="1" applyAlignment="1"/>
    <xf numFmtId="180" fontId="0" fillId="0" borderId="0" xfId="0" applyNumberFormat="1" applyBorder="1" applyAlignment="1">
      <alignment vertical="center"/>
    </xf>
    <xf numFmtId="0" fontId="5" fillId="0" borderId="76" xfId="0" quotePrefix="1" applyFont="1" applyFill="1" applyBorder="1" applyAlignment="1">
      <alignment horizontal="center" vertical="center"/>
    </xf>
    <xf numFmtId="3" fontId="0" fillId="0" borderId="10" xfId="0" applyNumberFormat="1" applyBorder="1" applyAlignment="1">
      <alignment vertical="center"/>
    </xf>
    <xf numFmtId="3" fontId="0" fillId="0" borderId="88" xfId="0" applyNumberFormat="1" applyBorder="1" applyAlignment="1">
      <alignment vertical="center"/>
    </xf>
    <xf numFmtId="4" fontId="5" fillId="0" borderId="7" xfId="0" applyNumberFormat="1" applyFont="1" applyFill="1" applyBorder="1"/>
    <xf numFmtId="3" fontId="0" fillId="0" borderId="7" xfId="0" applyNumberFormat="1" applyBorder="1" applyAlignment="1">
      <alignment vertical="center"/>
    </xf>
    <xf numFmtId="4" fontId="5" fillId="0" borderId="19" xfId="0" applyNumberFormat="1" applyFont="1" applyFill="1" applyBorder="1"/>
    <xf numFmtId="3" fontId="0" fillId="0" borderId="11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107" xfId="0" applyNumberFormat="1" applyBorder="1" applyAlignment="1">
      <alignment vertical="center"/>
    </xf>
    <xf numFmtId="4" fontId="5" fillId="0" borderId="100" xfId="0" applyNumberFormat="1" applyFont="1" applyFill="1" applyBorder="1"/>
    <xf numFmtId="3" fontId="0" fillId="0" borderId="100" xfId="0" applyNumberFormat="1" applyBorder="1" applyAlignment="1">
      <alignment vertical="center"/>
    </xf>
    <xf numFmtId="4" fontId="5" fillId="0" borderId="102" xfId="0" applyNumberFormat="1" applyFont="1" applyFill="1" applyBorder="1"/>
    <xf numFmtId="3" fontId="0" fillId="0" borderId="103" xfId="0" applyNumberFormat="1" applyBorder="1" applyAlignment="1">
      <alignment vertical="center"/>
    </xf>
    <xf numFmtId="181" fontId="0" fillId="0" borderId="10" xfId="0" applyNumberFormat="1" applyBorder="1" applyAlignment="1">
      <alignment vertical="center"/>
    </xf>
    <xf numFmtId="181" fontId="0" fillId="0" borderId="107" xfId="0" applyNumberFormat="1" applyBorder="1" applyAlignment="1">
      <alignment vertical="center"/>
    </xf>
    <xf numFmtId="181" fontId="0" fillId="0" borderId="100" xfId="0" applyNumberFormat="1" applyBorder="1" applyAlignment="1">
      <alignment vertical="center"/>
    </xf>
    <xf numFmtId="181" fontId="0" fillId="0" borderId="103" xfId="0" applyNumberFormat="1" applyBorder="1" applyAlignment="1">
      <alignment vertical="center"/>
    </xf>
    <xf numFmtId="181" fontId="0" fillId="0" borderId="106" xfId="0" applyNumberFormat="1" applyBorder="1" applyAlignment="1">
      <alignment vertical="center"/>
    </xf>
    <xf numFmtId="37" fontId="6" fillId="5" borderId="96" xfId="0" applyNumberFormat="1" applyFont="1" applyFill="1" applyBorder="1" applyAlignment="1" applyProtection="1">
      <alignment horizontal="center" vertical="center" shrinkToFit="1"/>
    </xf>
    <xf numFmtId="3" fontId="6" fillId="5" borderId="97" xfId="0" applyNumberFormat="1" applyFont="1" applyFill="1" applyBorder="1" applyAlignment="1" applyProtection="1">
      <alignment horizontal="right" vertical="top"/>
    </xf>
    <xf numFmtId="4" fontId="6" fillId="5" borderId="100" xfId="0" applyNumberFormat="1" applyFont="1" applyFill="1" applyBorder="1" applyAlignment="1" applyProtection="1">
      <alignment horizontal="right" vertical="top"/>
    </xf>
    <xf numFmtId="3" fontId="6" fillId="5" borderId="100" xfId="0" applyNumberFormat="1" applyFont="1" applyFill="1" applyBorder="1" applyAlignment="1" applyProtection="1">
      <alignment horizontal="right" vertical="top"/>
    </xf>
    <xf numFmtId="4" fontId="6" fillId="5" borderId="101" xfId="0" applyNumberFormat="1" applyFont="1" applyFill="1" applyBorder="1" applyAlignment="1" applyProtection="1">
      <alignment horizontal="right" vertical="top"/>
    </xf>
    <xf numFmtId="4" fontId="6" fillId="5" borderId="102" xfId="0" applyNumberFormat="1" applyFont="1" applyFill="1" applyBorder="1" applyAlignment="1" applyProtection="1">
      <alignment horizontal="right" vertical="top"/>
    </xf>
    <xf numFmtId="3" fontId="6" fillId="5" borderId="103" xfId="0" applyNumberFormat="1" applyFont="1" applyFill="1" applyBorder="1" applyAlignment="1" applyProtection="1">
      <alignment horizontal="right" vertical="top"/>
    </xf>
    <xf numFmtId="0" fontId="5" fillId="5" borderId="106" xfId="0" quotePrefix="1" applyFont="1" applyFill="1" applyBorder="1" applyAlignment="1">
      <alignment horizontal="center" vertical="center"/>
    </xf>
    <xf numFmtId="3" fontId="5" fillId="5" borderId="97" xfId="0" applyNumberFormat="1" applyFont="1" applyFill="1" applyBorder="1" applyAlignment="1">
      <alignment horizontal="right" vertical="top"/>
    </xf>
    <xf numFmtId="4" fontId="5" fillId="5" borderId="100" xfId="0" applyNumberFormat="1" applyFont="1" applyFill="1" applyBorder="1" applyAlignment="1">
      <alignment horizontal="right" vertical="top"/>
    </xf>
    <xf numFmtId="4" fontId="5" fillId="5" borderId="102" xfId="0" applyNumberFormat="1" applyFont="1" applyFill="1" applyBorder="1" applyAlignment="1">
      <alignment horizontal="right" vertical="top"/>
    </xf>
    <xf numFmtId="3" fontId="0" fillId="5" borderId="100" xfId="0" applyNumberFormat="1" applyFill="1" applyBorder="1"/>
    <xf numFmtId="182" fontId="5" fillId="0" borderId="100" xfId="0" applyNumberFormat="1" applyFont="1" applyFill="1" applyBorder="1" applyAlignment="1">
      <alignment horizontal="right" vertical="top"/>
    </xf>
    <xf numFmtId="182" fontId="5" fillId="5" borderId="100" xfId="0" applyNumberFormat="1" applyFont="1" applyFill="1" applyBorder="1" applyAlignment="1">
      <alignment horizontal="right" vertical="top"/>
    </xf>
    <xf numFmtId="3" fontId="0" fillId="0" borderId="103" xfId="0" applyNumberFormat="1" applyBorder="1"/>
    <xf numFmtId="3" fontId="0" fillId="5" borderId="103" xfId="0" applyNumberFormat="1" applyFill="1" applyBorder="1"/>
    <xf numFmtId="183" fontId="5" fillId="0" borderId="102" xfId="0" applyNumberFormat="1" applyFont="1" applyFill="1" applyBorder="1" applyAlignment="1">
      <alignment horizontal="right" vertical="top"/>
    </xf>
    <xf numFmtId="183" fontId="5" fillId="5" borderId="102" xfId="0" applyNumberFormat="1" applyFont="1" applyFill="1" applyBorder="1" applyAlignment="1">
      <alignment horizontal="right" vertical="top"/>
    </xf>
    <xf numFmtId="3" fontId="5" fillId="5" borderId="97" xfId="0" applyNumberFormat="1" applyFont="1" applyFill="1" applyBorder="1" applyAlignment="1"/>
    <xf numFmtId="4" fontId="6" fillId="5" borderId="102" xfId="0" applyNumberFormat="1" applyFont="1" applyFill="1" applyBorder="1" applyAlignment="1" applyProtection="1">
      <alignment horizontal="right"/>
    </xf>
    <xf numFmtId="0" fontId="5" fillId="5" borderId="96" xfId="0" quotePrefix="1" applyFont="1" applyFill="1" applyBorder="1" applyAlignment="1">
      <alignment horizontal="center" vertical="center"/>
    </xf>
    <xf numFmtId="0" fontId="5" fillId="5" borderId="96" xfId="0" applyFont="1" applyFill="1" applyBorder="1" applyAlignment="1">
      <alignment horizontal="center"/>
    </xf>
    <xf numFmtId="3" fontId="5" fillId="5" borderId="97" xfId="0" applyNumberFormat="1" applyFont="1" applyFill="1" applyBorder="1"/>
    <xf numFmtId="4" fontId="5" fillId="5" borderId="100" xfId="0" applyNumberFormat="1" applyFont="1" applyFill="1" applyBorder="1"/>
    <xf numFmtId="3" fontId="5" fillId="5" borderId="103" xfId="0" applyNumberFormat="1" applyFont="1" applyFill="1" applyBorder="1"/>
    <xf numFmtId="4" fontId="5" fillId="5" borderId="101" xfId="0" applyNumberFormat="1" applyFont="1" applyFill="1" applyBorder="1"/>
    <xf numFmtId="3" fontId="5" fillId="5" borderId="100" xfId="0" applyNumberFormat="1" applyFont="1" applyFill="1" applyBorder="1"/>
    <xf numFmtId="4" fontId="5" fillId="5" borderId="102" xfId="0" applyNumberFormat="1" applyFont="1" applyFill="1" applyBorder="1"/>
    <xf numFmtId="181" fontId="0" fillId="5" borderId="103" xfId="0" applyNumberFormat="1" applyFill="1" applyBorder="1" applyAlignment="1">
      <alignment vertical="center"/>
    </xf>
    <xf numFmtId="184" fontId="5" fillId="0" borderId="100" xfId="0" applyNumberFormat="1" applyFont="1" applyFill="1" applyBorder="1" applyAlignment="1">
      <alignment horizontal="right" vertical="top"/>
    </xf>
    <xf numFmtId="181" fontId="5" fillId="5" borderId="100" xfId="0" applyNumberFormat="1" applyFont="1" applyFill="1" applyBorder="1" applyAlignment="1">
      <alignment horizontal="right" vertical="top"/>
    </xf>
    <xf numFmtId="184" fontId="5" fillId="5" borderId="100" xfId="0" applyNumberFormat="1" applyFont="1" applyFill="1" applyBorder="1" applyAlignment="1">
      <alignment horizontal="right" vertical="top"/>
    </xf>
    <xf numFmtId="0" fontId="5" fillId="0" borderId="4" xfId="0" quotePrefix="1" applyFont="1" applyFill="1" applyBorder="1" applyAlignment="1">
      <alignment horizontal="center" vertical="center"/>
    </xf>
    <xf numFmtId="0" fontId="5" fillId="0" borderId="6" xfId="0" quotePrefix="1" applyFont="1" applyFill="1" applyBorder="1" applyAlignment="1">
      <alignment horizontal="center" vertical="center"/>
    </xf>
    <xf numFmtId="181" fontId="0" fillId="0" borderId="8" xfId="0" applyNumberFormat="1" applyBorder="1" applyAlignment="1">
      <alignment vertical="center"/>
    </xf>
    <xf numFmtId="184" fontId="5" fillId="0" borderId="36" xfId="0" applyNumberFormat="1" applyFont="1" applyFill="1" applyBorder="1" applyAlignment="1">
      <alignment horizontal="right" vertical="top"/>
    </xf>
    <xf numFmtId="184" fontId="5" fillId="0" borderId="13" xfId="0" applyNumberFormat="1" applyFont="1" applyFill="1" applyBorder="1" applyAlignment="1">
      <alignment horizontal="right" vertical="top"/>
    </xf>
    <xf numFmtId="40" fontId="5" fillId="0" borderId="16" xfId="0" applyNumberFormat="1" applyFont="1" applyFill="1" applyBorder="1"/>
    <xf numFmtId="40" fontId="5" fillId="0" borderId="18" xfId="0" applyNumberFormat="1" applyFont="1" applyFill="1" applyBorder="1"/>
    <xf numFmtId="4" fontId="5" fillId="5" borderId="105" xfId="0" applyNumberFormat="1" applyFont="1" applyFill="1" applyBorder="1"/>
    <xf numFmtId="0" fontId="5" fillId="5" borderId="3" xfId="0" quotePrefix="1" applyFont="1" applyFill="1" applyBorder="1" applyAlignment="1">
      <alignment horizontal="center" vertical="center"/>
    </xf>
    <xf numFmtId="181" fontId="0" fillId="5" borderId="7" xfId="0" applyNumberFormat="1" applyFill="1" applyBorder="1" applyAlignment="1">
      <alignment vertical="center"/>
    </xf>
    <xf numFmtId="40" fontId="5" fillId="5" borderId="18" xfId="0" applyNumberFormat="1" applyFont="1" applyFill="1" applyBorder="1"/>
    <xf numFmtId="184" fontId="5" fillId="5" borderId="11" xfId="0" applyNumberFormat="1" applyFont="1" applyFill="1" applyBorder="1" applyAlignment="1">
      <alignment horizontal="right" vertical="top"/>
    </xf>
    <xf numFmtId="4" fontId="5" fillId="5" borderId="19" xfId="0" applyNumberFormat="1" applyFont="1" applyFill="1" applyBorder="1"/>
    <xf numFmtId="185" fontId="5" fillId="0" borderId="97" xfId="0" applyNumberFormat="1" applyFont="1" applyFill="1" applyBorder="1" applyAlignment="1">
      <alignment horizontal="right" vertical="top"/>
    </xf>
    <xf numFmtId="186" fontId="5" fillId="0" borderId="100" xfId="0" applyNumberFormat="1" applyFont="1" applyFill="1" applyBorder="1" applyAlignment="1">
      <alignment horizontal="right" vertical="top"/>
    </xf>
    <xf numFmtId="186" fontId="5" fillId="0" borderId="102" xfId="0" applyNumberFormat="1" applyFont="1" applyFill="1" applyBorder="1" applyAlignment="1">
      <alignment horizontal="right" vertical="top"/>
    </xf>
    <xf numFmtId="185" fontId="0" fillId="0" borderId="100" xfId="0" applyNumberFormat="1" applyBorder="1"/>
    <xf numFmtId="183" fontId="5" fillId="0" borderId="105" xfId="0" applyNumberFormat="1" applyFont="1" applyFill="1" applyBorder="1" applyAlignment="1"/>
    <xf numFmtId="183" fontId="5" fillId="0" borderId="102" xfId="0" applyNumberFormat="1" applyFont="1" applyFill="1" applyBorder="1" applyAlignment="1"/>
    <xf numFmtId="40" fontId="5" fillId="0" borderId="100" xfId="0" applyNumberFormat="1" applyFont="1" applyFill="1" applyBorder="1"/>
    <xf numFmtId="40" fontId="5" fillId="0" borderId="102" xfId="0" applyNumberFormat="1" applyFont="1" applyFill="1" applyBorder="1"/>
    <xf numFmtId="186" fontId="0" fillId="0" borderId="100" xfId="0" applyNumberFormat="1" applyBorder="1"/>
    <xf numFmtId="185" fontId="5" fillId="5" borderId="97" xfId="0" applyNumberFormat="1" applyFont="1" applyFill="1" applyBorder="1" applyAlignment="1">
      <alignment horizontal="right" vertical="top"/>
    </xf>
    <xf numFmtId="186" fontId="5" fillId="5" borderId="100" xfId="0" applyNumberFormat="1" applyFont="1" applyFill="1" applyBorder="1" applyAlignment="1">
      <alignment horizontal="right" vertical="top"/>
    </xf>
    <xf numFmtId="186" fontId="5" fillId="5" borderId="102" xfId="0" applyNumberFormat="1" applyFont="1" applyFill="1" applyBorder="1" applyAlignment="1">
      <alignment horizontal="right" vertical="top"/>
    </xf>
    <xf numFmtId="185" fontId="0" fillId="5" borderId="100" xfId="0" applyNumberFormat="1" applyFill="1" applyBorder="1"/>
    <xf numFmtId="183" fontId="6" fillId="5" borderId="102" xfId="0" applyNumberFormat="1" applyFont="1" applyFill="1" applyBorder="1" applyAlignment="1" applyProtection="1">
      <alignment horizontal="right"/>
    </xf>
    <xf numFmtId="40" fontId="5" fillId="5" borderId="19" xfId="0" applyNumberFormat="1" applyFont="1" applyFill="1" applyBorder="1"/>
    <xf numFmtId="181" fontId="0" fillId="0" borderId="103" xfId="0" applyNumberFormat="1" applyFill="1" applyBorder="1" applyAlignment="1">
      <alignment vertical="center"/>
    </xf>
    <xf numFmtId="181" fontId="0" fillId="0" borderId="10" xfId="0" applyNumberFormat="1" applyFill="1" applyBorder="1" applyAlignment="1">
      <alignment vertical="center"/>
    </xf>
    <xf numFmtId="185" fontId="0" fillId="0" borderId="100" xfId="0" applyNumberFormat="1" applyFill="1" applyBorder="1"/>
    <xf numFmtId="3" fontId="5" fillId="6" borderId="5" xfId="0" applyNumberFormat="1" applyFont="1" applyFill="1" applyBorder="1"/>
    <xf numFmtId="182" fontId="5" fillId="6" borderId="100" xfId="0" applyNumberFormat="1" applyFont="1" applyFill="1" applyBorder="1" applyAlignment="1">
      <alignment horizontal="right" vertical="top"/>
    </xf>
    <xf numFmtId="176" fontId="5" fillId="0" borderId="100" xfId="0" applyNumberFormat="1" applyFont="1" applyFill="1" applyBorder="1" applyAlignment="1">
      <alignment horizontal="right" vertical="top"/>
    </xf>
    <xf numFmtId="185" fontId="0" fillId="0" borderId="103" xfId="0" applyNumberFormat="1" applyBorder="1" applyAlignment="1">
      <alignment vertical="center"/>
    </xf>
    <xf numFmtId="185" fontId="5" fillId="0" borderId="100" xfId="0" applyNumberFormat="1" applyFont="1" applyFill="1" applyBorder="1" applyAlignment="1">
      <alignment horizontal="right" vertical="top"/>
    </xf>
    <xf numFmtId="186" fontId="5" fillId="7" borderId="100" xfId="0" applyNumberFormat="1" applyFont="1" applyFill="1" applyBorder="1" applyAlignment="1">
      <alignment horizontal="right" vertical="top"/>
    </xf>
    <xf numFmtId="185" fontId="5" fillId="7" borderId="100" xfId="0" applyNumberFormat="1" applyFont="1" applyFill="1" applyBorder="1" applyAlignment="1">
      <alignment horizontal="right" vertical="top"/>
    </xf>
    <xf numFmtId="176" fontId="5" fillId="7" borderId="100" xfId="0" applyNumberFormat="1" applyFont="1" applyFill="1" applyBorder="1" applyAlignment="1">
      <alignment horizontal="right" vertical="top"/>
    </xf>
    <xf numFmtId="38" fontId="0" fillId="0" borderId="0" xfId="2" applyFont="1" applyAlignment="1"/>
    <xf numFmtId="38" fontId="5" fillId="5" borderId="96" xfId="2" quotePrefix="1" applyFont="1" applyFill="1" applyBorder="1" applyAlignment="1">
      <alignment horizontal="center" vertical="center"/>
    </xf>
    <xf numFmtId="38" fontId="5" fillId="7" borderId="100" xfId="2" applyFont="1" applyFill="1" applyBorder="1" applyAlignment="1">
      <alignment horizontal="right" vertical="top"/>
    </xf>
    <xf numFmtId="38" fontId="5" fillId="5" borderId="100" xfId="2" applyFont="1" applyFill="1" applyBorder="1" applyAlignment="1">
      <alignment horizontal="right" vertical="top"/>
    </xf>
    <xf numFmtId="38" fontId="0" fillId="5" borderId="103" xfId="2" applyFont="1" applyFill="1" applyBorder="1" applyAlignment="1">
      <alignment vertical="center"/>
    </xf>
    <xf numFmtId="40" fontId="5" fillId="5" borderId="100" xfId="2" applyNumberFormat="1" applyFont="1" applyFill="1" applyBorder="1" applyAlignment="1"/>
    <xf numFmtId="40" fontId="5" fillId="5" borderId="102" xfId="2" applyNumberFormat="1" applyFont="1" applyFill="1" applyBorder="1" applyAlignment="1"/>
    <xf numFmtId="4" fontId="5" fillId="7" borderId="19" xfId="0" applyNumberFormat="1" applyFont="1" applyFill="1" applyBorder="1"/>
    <xf numFmtId="186" fontId="5" fillId="7" borderId="102" xfId="0" applyNumberFormat="1" applyFont="1" applyFill="1" applyBorder="1" applyAlignment="1">
      <alignment horizontal="right" vertical="top"/>
    </xf>
    <xf numFmtId="185" fontId="0" fillId="7" borderId="100" xfId="0" applyNumberFormat="1" applyFill="1" applyBorder="1"/>
    <xf numFmtId="185" fontId="5" fillId="0" borderId="23" xfId="0" applyNumberFormat="1" applyFont="1" applyFill="1" applyBorder="1" applyAlignment="1">
      <alignment horizontal="right" vertical="top"/>
    </xf>
    <xf numFmtId="49" fontId="5" fillId="0" borderId="106" xfId="0" quotePrefix="1" applyNumberFormat="1" applyFont="1" applyFill="1" applyBorder="1" applyAlignment="1">
      <alignment horizontal="center" vertical="center"/>
    </xf>
    <xf numFmtId="0" fontId="4" fillId="0" borderId="0" xfId="0" applyFont="1" applyBorder="1"/>
    <xf numFmtId="178" fontId="4" fillId="0" borderId="0" xfId="0" applyNumberFormat="1" applyFont="1" applyBorder="1" applyAlignment="1"/>
    <xf numFmtId="0" fontId="5" fillId="0" borderId="100" xfId="0" applyNumberFormat="1" applyFont="1" applyFill="1" applyBorder="1" applyAlignment="1">
      <alignment horizontal="right" vertical="top"/>
    </xf>
    <xf numFmtId="49" fontId="5" fillId="0" borderId="4" xfId="0" quotePrefix="1" applyNumberFormat="1" applyFont="1" applyFill="1" applyBorder="1" applyAlignment="1">
      <alignment horizontal="center" vertical="center"/>
    </xf>
    <xf numFmtId="0" fontId="6" fillId="0" borderId="108" xfId="0" applyFont="1" applyBorder="1" applyAlignment="1" applyProtection="1">
      <alignment vertical="center" wrapText="1"/>
    </xf>
    <xf numFmtId="0" fontId="0" fillId="0" borderId="109" xfId="0" applyBorder="1" applyAlignment="1">
      <alignment vertical="center" wrapText="1"/>
    </xf>
    <xf numFmtId="0" fontId="0" fillId="0" borderId="109" xfId="0" applyBorder="1" applyAlignment="1"/>
    <xf numFmtId="0" fontId="6" fillId="0" borderId="110" xfId="0" applyFont="1" applyBorder="1" applyAlignment="1" applyProtection="1">
      <alignment vertical="center" wrapText="1"/>
    </xf>
    <xf numFmtId="0" fontId="0" fillId="0" borderId="111" xfId="0" applyBorder="1" applyAlignment="1"/>
    <xf numFmtId="0" fontId="5" fillId="0" borderId="109" xfId="0" applyFont="1" applyBorder="1" applyAlignment="1">
      <alignment vertical="center" wrapText="1"/>
    </xf>
    <xf numFmtId="0" fontId="5" fillId="0" borderId="111" xfId="0" applyFont="1" applyBorder="1" applyAlignment="1">
      <alignment vertical="center" wrapText="1"/>
    </xf>
    <xf numFmtId="0" fontId="6" fillId="0" borderId="109" xfId="0" applyFont="1" applyBorder="1" applyAlignment="1" applyProtection="1">
      <alignment vertical="center" wrapText="1"/>
    </xf>
    <xf numFmtId="0" fontId="5" fillId="0" borderId="109" xfId="0" applyFont="1" applyBorder="1" applyAlignment="1"/>
    <xf numFmtId="0" fontId="0" fillId="0" borderId="112" xfId="0" applyBorder="1" applyAlignment="1"/>
    <xf numFmtId="0" fontId="0" fillId="0" borderId="111" xfId="0" applyBorder="1" applyAlignment="1">
      <alignment vertical="center" wrapText="1"/>
    </xf>
    <xf numFmtId="0" fontId="5" fillId="0" borderId="1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14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5" fillId="0" borderId="1" xfId="0" applyFont="1" applyBorder="1" applyAlignment="1"/>
    <xf numFmtId="0" fontId="0" fillId="0" borderId="2" xfId="0" applyBorder="1" applyAlignment="1"/>
    <xf numFmtId="0" fontId="0" fillId="0" borderId="22" xfId="0" applyBorder="1" applyAlignment="1">
      <alignment vertical="center"/>
    </xf>
    <xf numFmtId="185" fontId="5" fillId="0" borderId="23" xfId="0" applyNumberFormat="1" applyFont="1" applyBorder="1" applyAlignment="1">
      <alignment horizontal="right" vertical="top"/>
    </xf>
    <xf numFmtId="49" fontId="5" fillId="0" borderId="106" xfId="0" quotePrefix="1" applyNumberFormat="1" applyFont="1" applyBorder="1" applyAlignment="1">
      <alignment horizontal="center" vertical="center"/>
    </xf>
    <xf numFmtId="185" fontId="5" fillId="0" borderId="97" xfId="0" applyNumberFormat="1" applyFont="1" applyBorder="1" applyAlignment="1">
      <alignment horizontal="right" vertical="top"/>
    </xf>
    <xf numFmtId="186" fontId="5" fillId="0" borderId="100" xfId="0" applyNumberFormat="1" applyFont="1" applyBorder="1" applyAlignment="1">
      <alignment horizontal="right" vertical="top"/>
    </xf>
    <xf numFmtId="185" fontId="5" fillId="0" borderId="100" xfId="0" applyNumberFormat="1" applyFont="1" applyBorder="1" applyAlignment="1">
      <alignment horizontal="right" vertical="top"/>
    </xf>
    <xf numFmtId="186" fontId="5" fillId="0" borderId="102" xfId="0" applyNumberFormat="1" applyFont="1" applyBorder="1" applyAlignment="1">
      <alignment horizontal="right" vertical="top"/>
    </xf>
    <xf numFmtId="183" fontId="5" fillId="0" borderId="105" xfId="0" applyNumberFormat="1" applyFont="1" applyBorder="1"/>
    <xf numFmtId="178" fontId="5" fillId="0" borderId="100" xfId="0" applyNumberFormat="1" applyFont="1" applyBorder="1" applyAlignment="1">
      <alignment horizontal="right" vertical="top"/>
    </xf>
    <xf numFmtId="183" fontId="5" fillId="0" borderId="102" xfId="0" applyNumberFormat="1" applyFont="1" applyBorder="1"/>
    <xf numFmtId="49" fontId="5" fillId="0" borderId="96" xfId="0" quotePrefix="1" applyNumberFormat="1" applyFont="1" applyBorder="1" applyAlignment="1">
      <alignment horizontal="center" vertical="center"/>
    </xf>
    <xf numFmtId="176" fontId="5" fillId="0" borderId="103" xfId="0" applyNumberFormat="1" applyFont="1" applyBorder="1" applyAlignment="1">
      <alignment horizontal="right" vertical="top"/>
    </xf>
    <xf numFmtId="40" fontId="5" fillId="0" borderId="100" xfId="0" applyNumberFormat="1" applyFont="1" applyBorder="1"/>
    <xf numFmtId="176" fontId="5" fillId="0" borderId="100" xfId="0" applyNumberFormat="1" applyFont="1" applyBorder="1" applyAlignment="1">
      <alignment horizontal="right" vertical="top"/>
    </xf>
    <xf numFmtId="40" fontId="5" fillId="0" borderId="102" xfId="0" applyNumberFormat="1" applyFont="1" applyBorder="1"/>
    <xf numFmtId="0" fontId="5" fillId="0" borderId="100" xfId="0" applyFont="1" applyBorder="1" applyAlignment="1">
      <alignment horizontal="right" vertical="top"/>
    </xf>
    <xf numFmtId="0" fontId="5" fillId="0" borderId="6" xfId="0" quotePrefix="1" applyFont="1" applyBorder="1" applyAlignment="1">
      <alignment horizontal="center" vertical="center"/>
    </xf>
    <xf numFmtId="40" fontId="5" fillId="0" borderId="18" xfId="0" applyNumberFormat="1" applyFont="1" applyBorder="1"/>
    <xf numFmtId="184" fontId="5" fillId="0" borderId="13" xfId="0" applyNumberFormat="1" applyFont="1" applyBorder="1" applyAlignment="1">
      <alignment horizontal="right" vertical="top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DE9D9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152;&#24037;&#26376;&#22577;&#65306;&#24179;&#25104;28&#24180;1&#26376;&#65374;12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28年1月"/>
      <sheetName val="平成28年2月"/>
      <sheetName val="平成28年3月"/>
      <sheetName val="平成28年4月"/>
      <sheetName val="平成28年5月"/>
      <sheetName val="平成28年6月"/>
      <sheetName val="平成28年7月"/>
      <sheetName val="平成28年8月"/>
      <sheetName val="平成28年9月"/>
      <sheetName val="平成28年10月"/>
      <sheetName val="平成28年11月"/>
      <sheetName val="平成28年12月"/>
      <sheetName val="３地区計"/>
      <sheetName val="東部計"/>
      <sheetName val="中部計"/>
      <sheetName val="西部計"/>
      <sheetName val="Q"/>
      <sheetName val="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F4">
            <v>33636</v>
          </cell>
          <cell r="N4">
            <v>34600.1</v>
          </cell>
        </row>
        <row r="5">
          <cell r="N5">
            <v>55693.7</v>
          </cell>
        </row>
        <row r="6">
          <cell r="N6">
            <v>19013.8</v>
          </cell>
        </row>
        <row r="7">
          <cell r="N7">
            <v>18657.599999999999</v>
          </cell>
        </row>
        <row r="8">
          <cell r="N8">
            <v>6609.7</v>
          </cell>
        </row>
        <row r="9">
          <cell r="N9">
            <v>5413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32"/>
  <sheetViews>
    <sheetView showZeros="0" tabSelected="1" view="pageBreakPreview" zoomScaleNormal="100" zoomScaleSheetLayoutView="100" workbookViewId="0">
      <pane xSplit="2" ySplit="3" topLeftCell="IY4" activePane="bottomRight" state="frozen"/>
      <selection pane="topRight" activeCell="C1" sqref="C1"/>
      <selection pane="bottomLeft" activeCell="A4" sqref="A4"/>
      <selection pane="bottomRight" activeCell="JN32" sqref="JN32"/>
    </sheetView>
  </sheetViews>
  <sheetFormatPr defaultColWidth="9" defaultRowHeight="18.75" x14ac:dyDescent="0.3"/>
  <cols>
    <col min="1" max="1" width="16.625" style="6" customWidth="1"/>
    <col min="2" max="52" width="8.625" style="6" customWidth="1"/>
    <col min="53" max="64" width="9" style="6" customWidth="1"/>
    <col min="65" max="71" width="9" style="142" customWidth="1"/>
    <col min="72" max="73" width="9.125" style="142" customWidth="1"/>
    <col min="74" max="76" width="9" style="142" customWidth="1"/>
    <col min="77" max="81" width="9" style="6" customWidth="1"/>
    <col min="82" max="83" width="9" style="145" customWidth="1"/>
    <col min="84" max="84" width="9.25" style="145" customWidth="1"/>
    <col min="85" max="85" width="9" style="145" customWidth="1"/>
    <col min="86" max="90" width="9" style="6" customWidth="1"/>
    <col min="91" max="96" width="9" style="264" customWidth="1"/>
    <col min="97" max="137" width="9" style="6" customWidth="1"/>
    <col min="138" max="138" width="9.25" style="6" customWidth="1"/>
    <col min="139" max="189" width="9" style="6" customWidth="1"/>
    <col min="190" max="190" width="9.25" style="6" customWidth="1"/>
    <col min="191" max="233" width="9" style="6" customWidth="1"/>
    <col min="234" max="237" width="9" style="6"/>
    <col min="238" max="239" width="9" style="6" customWidth="1"/>
    <col min="240" max="240" width="9.875" style="6" bestFit="1" customWidth="1"/>
    <col min="241" max="245" width="9" style="6" customWidth="1"/>
    <col min="246" max="246" width="9" style="6"/>
    <col min="247" max="247" width="9.875" style="6" bestFit="1" customWidth="1"/>
    <col min="248" max="256" width="9" style="6" customWidth="1"/>
    <col min="257" max="257" width="9" style="264" customWidth="1"/>
    <col min="258" max="259" width="9" style="6" customWidth="1"/>
    <col min="260" max="260" width="9" style="6"/>
    <col min="261" max="273" width="9" style="6" customWidth="1"/>
    <col min="274" max="16384" width="9" style="6"/>
  </cols>
  <sheetData>
    <row r="1" spans="1:274" ht="26.25" x14ac:dyDescent="0.4">
      <c r="A1" s="1"/>
      <c r="B1" s="1"/>
      <c r="C1" s="1"/>
      <c r="D1" s="1"/>
      <c r="E1" s="1"/>
      <c r="F1" s="2"/>
      <c r="G1" s="3" t="s">
        <v>0</v>
      </c>
      <c r="H1" s="3"/>
      <c r="I1" s="4" t="s">
        <v>119</v>
      </c>
      <c r="J1" s="5"/>
      <c r="L1" s="7"/>
      <c r="M1" s="7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8" t="s">
        <v>1</v>
      </c>
      <c r="Z1" s="1"/>
    </row>
    <row r="2" spans="1:274" ht="19.5" thickBot="1" x14ac:dyDescent="0.3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6"/>
      <c r="P2" s="46"/>
      <c r="Q2" s="46"/>
      <c r="R2" s="46"/>
      <c r="S2" s="46"/>
      <c r="T2" s="46"/>
      <c r="U2" s="46"/>
      <c r="V2" s="46"/>
      <c r="W2" s="46"/>
      <c r="X2" s="46"/>
      <c r="Y2" s="46" t="s">
        <v>3</v>
      </c>
      <c r="Z2" s="1"/>
      <c r="JM2" s="536"/>
      <c r="JN2" s="561"/>
    </row>
    <row r="3" spans="1:274" ht="13.5" customHeight="1" thickBot="1" x14ac:dyDescent="0.35">
      <c r="A3" s="50"/>
      <c r="B3" s="51" t="s">
        <v>4</v>
      </c>
      <c r="C3" s="52" t="s">
        <v>5</v>
      </c>
      <c r="D3" s="53" t="s">
        <v>6</v>
      </c>
      <c r="E3" s="52" t="s">
        <v>7</v>
      </c>
      <c r="F3" s="53" t="s">
        <v>8</v>
      </c>
      <c r="G3" s="52" t="s">
        <v>9</v>
      </c>
      <c r="H3" s="53" t="s">
        <v>10</v>
      </c>
      <c r="I3" s="52" t="s">
        <v>11</v>
      </c>
      <c r="J3" s="53" t="s">
        <v>12</v>
      </c>
      <c r="K3" s="52" t="s">
        <v>13</v>
      </c>
      <c r="L3" s="53" t="s">
        <v>14</v>
      </c>
      <c r="M3" s="52" t="s">
        <v>15</v>
      </c>
      <c r="N3" s="53" t="s">
        <v>16</v>
      </c>
      <c r="O3" s="54" t="s">
        <v>17</v>
      </c>
      <c r="P3" s="55" t="s">
        <v>18</v>
      </c>
      <c r="Q3" s="55" t="s">
        <v>19</v>
      </c>
      <c r="R3" s="55" t="s">
        <v>20</v>
      </c>
      <c r="S3" s="55" t="s">
        <v>21</v>
      </c>
      <c r="T3" s="55" t="s">
        <v>22</v>
      </c>
      <c r="U3" s="55" t="s">
        <v>23</v>
      </c>
      <c r="V3" s="55" t="s">
        <v>24</v>
      </c>
      <c r="W3" s="55" t="s">
        <v>25</v>
      </c>
      <c r="X3" s="55" t="s">
        <v>26</v>
      </c>
      <c r="Y3" s="55" t="s">
        <v>27</v>
      </c>
      <c r="Z3" s="56" t="s">
        <v>28</v>
      </c>
      <c r="AA3" s="57" t="s">
        <v>29</v>
      </c>
      <c r="AB3" s="58" t="s">
        <v>30</v>
      </c>
      <c r="AC3" s="57" t="s">
        <v>31</v>
      </c>
      <c r="AD3" s="58" t="s">
        <v>32</v>
      </c>
      <c r="AE3" s="57" t="s">
        <v>109</v>
      </c>
      <c r="AF3" s="58" t="s">
        <v>110</v>
      </c>
      <c r="AG3" s="57" t="s">
        <v>111</v>
      </c>
      <c r="AH3" s="58" t="s">
        <v>112</v>
      </c>
      <c r="AI3" s="57" t="s">
        <v>113</v>
      </c>
      <c r="AJ3" s="58" t="s">
        <v>114</v>
      </c>
      <c r="AK3" s="57" t="s">
        <v>115</v>
      </c>
      <c r="AL3" s="58" t="s">
        <v>116</v>
      </c>
      <c r="AM3" s="53" t="s">
        <v>176</v>
      </c>
      <c r="AN3" s="120" t="s">
        <v>33</v>
      </c>
      <c r="AO3" s="58" t="s">
        <v>117</v>
      </c>
      <c r="AP3" s="99" t="s">
        <v>118</v>
      </c>
      <c r="AQ3" s="57" t="s">
        <v>143</v>
      </c>
      <c r="AR3" s="57" t="s">
        <v>144</v>
      </c>
      <c r="AS3" s="58" t="s">
        <v>110</v>
      </c>
      <c r="AT3" s="57" t="s">
        <v>145</v>
      </c>
      <c r="AU3" s="58" t="s">
        <v>146</v>
      </c>
      <c r="AV3" s="57" t="s">
        <v>147</v>
      </c>
      <c r="AW3" s="58" t="s">
        <v>148</v>
      </c>
      <c r="AX3" s="57" t="s">
        <v>149</v>
      </c>
      <c r="AY3" s="81" t="s">
        <v>150</v>
      </c>
      <c r="AZ3" s="53" t="s">
        <v>192</v>
      </c>
      <c r="BA3" s="111" t="s">
        <v>164</v>
      </c>
      <c r="BB3" s="112" t="s">
        <v>166</v>
      </c>
      <c r="BC3" s="112" t="s">
        <v>167</v>
      </c>
      <c r="BD3" s="112" t="s">
        <v>168</v>
      </c>
      <c r="BE3" s="112" t="s">
        <v>170</v>
      </c>
      <c r="BF3" s="112" t="s">
        <v>174</v>
      </c>
      <c r="BG3" s="112" t="s">
        <v>175</v>
      </c>
      <c r="BH3" s="112" t="s">
        <v>181</v>
      </c>
      <c r="BI3" s="112" t="s">
        <v>182</v>
      </c>
      <c r="BJ3" s="112" t="s">
        <v>185</v>
      </c>
      <c r="BK3" s="112" t="s">
        <v>187</v>
      </c>
      <c r="BL3" s="112" t="s">
        <v>190</v>
      </c>
      <c r="BM3" s="143" t="s">
        <v>195</v>
      </c>
      <c r="BN3" s="143" t="s">
        <v>198</v>
      </c>
      <c r="BO3" s="143" t="s">
        <v>199</v>
      </c>
      <c r="BP3" s="143" t="s">
        <v>201</v>
      </c>
      <c r="BQ3" s="143" t="s">
        <v>204</v>
      </c>
      <c r="BR3" s="143" t="s">
        <v>206</v>
      </c>
      <c r="BS3" s="143" t="s">
        <v>208</v>
      </c>
      <c r="BT3" s="144" t="s">
        <v>210</v>
      </c>
      <c r="BU3" s="144" t="s">
        <v>212</v>
      </c>
      <c r="BV3" s="144" t="s">
        <v>214</v>
      </c>
      <c r="BW3" s="144" t="s">
        <v>216</v>
      </c>
      <c r="BX3" s="144" t="s">
        <v>218</v>
      </c>
      <c r="BY3" s="53" t="s">
        <v>220</v>
      </c>
      <c r="BZ3" s="141" t="s">
        <v>221</v>
      </c>
      <c r="CA3" s="112" t="s">
        <v>223</v>
      </c>
      <c r="CB3" s="112" t="s">
        <v>224</v>
      </c>
      <c r="CC3" s="112" t="s">
        <v>225</v>
      </c>
      <c r="CD3" s="146" t="s">
        <v>226</v>
      </c>
      <c r="CE3" s="151" t="s">
        <v>227</v>
      </c>
      <c r="CF3" s="156" t="s">
        <v>228</v>
      </c>
      <c r="CG3" s="156" t="s">
        <v>229</v>
      </c>
      <c r="CH3" s="156" t="s">
        <v>230</v>
      </c>
      <c r="CI3" s="156" t="s">
        <v>231</v>
      </c>
      <c r="CJ3" s="156" t="s">
        <v>232</v>
      </c>
      <c r="CK3" s="148" t="s">
        <v>233</v>
      </c>
      <c r="CL3" s="336" t="s">
        <v>249</v>
      </c>
      <c r="CM3" s="265" t="s">
        <v>234</v>
      </c>
      <c r="CN3" s="266" t="s">
        <v>235</v>
      </c>
      <c r="CO3" s="266" t="s">
        <v>236</v>
      </c>
      <c r="CP3" s="322" t="s">
        <v>237</v>
      </c>
      <c r="CQ3" s="322" t="s">
        <v>238</v>
      </c>
      <c r="CR3" s="322" t="s">
        <v>239</v>
      </c>
      <c r="CS3" s="322" t="s">
        <v>240</v>
      </c>
      <c r="CT3" s="322" t="s">
        <v>241</v>
      </c>
      <c r="CU3" s="322" t="s">
        <v>242</v>
      </c>
      <c r="CV3" s="322" t="s">
        <v>243</v>
      </c>
      <c r="CW3" s="322" t="s">
        <v>244</v>
      </c>
      <c r="CX3" s="312" t="s">
        <v>245</v>
      </c>
      <c r="CY3" s="364" t="s">
        <v>250</v>
      </c>
      <c r="CZ3" s="322" t="s">
        <v>251</v>
      </c>
      <c r="DA3" s="322" t="s">
        <v>253</v>
      </c>
      <c r="DB3" s="322" t="s">
        <v>255</v>
      </c>
      <c r="DC3" s="322" t="s">
        <v>257</v>
      </c>
      <c r="DD3" s="322" t="s">
        <v>259</v>
      </c>
      <c r="DE3" s="322" t="s">
        <v>261</v>
      </c>
      <c r="DF3" s="322" t="s">
        <v>263</v>
      </c>
      <c r="DG3" s="322" t="s">
        <v>265</v>
      </c>
      <c r="DH3" s="322" t="s">
        <v>267</v>
      </c>
      <c r="DI3" s="322" t="s">
        <v>268</v>
      </c>
      <c r="DJ3" s="322" t="s">
        <v>270</v>
      </c>
      <c r="DK3" s="322" t="s">
        <v>271</v>
      </c>
      <c r="DL3" s="364" t="s">
        <v>272</v>
      </c>
      <c r="DM3" s="322" t="s">
        <v>273</v>
      </c>
      <c r="DN3" s="322" t="s">
        <v>276</v>
      </c>
      <c r="DO3" s="322" t="s">
        <v>277</v>
      </c>
      <c r="DP3" s="322" t="s">
        <v>278</v>
      </c>
      <c r="DQ3" s="322" t="s">
        <v>280</v>
      </c>
      <c r="DR3" s="322" t="s">
        <v>281</v>
      </c>
      <c r="DS3" s="322" t="s">
        <v>282</v>
      </c>
      <c r="DT3" s="322" t="s">
        <v>283</v>
      </c>
      <c r="DU3" s="322" t="s">
        <v>284</v>
      </c>
      <c r="DV3" s="322" t="s">
        <v>285</v>
      </c>
      <c r="DW3" s="322" t="s">
        <v>286</v>
      </c>
      <c r="DX3" s="322" t="s">
        <v>287</v>
      </c>
      <c r="DY3" s="364" t="s">
        <v>290</v>
      </c>
      <c r="DZ3" s="284" t="s">
        <v>291</v>
      </c>
      <c r="EA3" s="284" t="s">
        <v>292</v>
      </c>
      <c r="EB3" s="284" t="s">
        <v>293</v>
      </c>
      <c r="EC3" s="284" t="s">
        <v>294</v>
      </c>
      <c r="ED3" s="284" t="s">
        <v>295</v>
      </c>
      <c r="EE3" s="284" t="s">
        <v>296</v>
      </c>
      <c r="EF3" s="284" t="s">
        <v>297</v>
      </c>
      <c r="EG3" s="284" t="s">
        <v>298</v>
      </c>
      <c r="EH3" s="284" t="s">
        <v>299</v>
      </c>
      <c r="EI3" s="284" t="s">
        <v>300</v>
      </c>
      <c r="EJ3" s="284" t="s">
        <v>301</v>
      </c>
      <c r="EK3" s="284" t="s">
        <v>302</v>
      </c>
      <c r="EL3" s="364" t="s">
        <v>304</v>
      </c>
      <c r="EM3" s="284" t="s">
        <v>303</v>
      </c>
      <c r="EN3" s="284" t="s">
        <v>306</v>
      </c>
      <c r="EO3" s="284" t="s">
        <v>307</v>
      </c>
      <c r="EP3" s="284" t="s">
        <v>308</v>
      </c>
      <c r="EQ3" s="284" t="s">
        <v>309</v>
      </c>
      <c r="ER3" s="284" t="s">
        <v>310</v>
      </c>
      <c r="ES3" s="284" t="s">
        <v>311</v>
      </c>
      <c r="ET3" s="284" t="s">
        <v>312</v>
      </c>
      <c r="EU3" s="284" t="s">
        <v>313</v>
      </c>
      <c r="EV3" s="284" t="s">
        <v>314</v>
      </c>
      <c r="EW3" s="284" t="s">
        <v>315</v>
      </c>
      <c r="EX3" s="284" t="s">
        <v>316</v>
      </c>
      <c r="EY3" s="364" t="s">
        <v>319</v>
      </c>
      <c r="EZ3" s="284" t="s">
        <v>318</v>
      </c>
      <c r="FA3" s="284" t="s">
        <v>320</v>
      </c>
      <c r="FB3" s="284" t="s">
        <v>321</v>
      </c>
      <c r="FC3" s="284" t="s">
        <v>322</v>
      </c>
      <c r="FD3" s="284" t="s">
        <v>323</v>
      </c>
      <c r="FE3" s="284" t="s">
        <v>324</v>
      </c>
      <c r="FF3" s="284" t="s">
        <v>325</v>
      </c>
      <c r="FG3" s="284" t="s">
        <v>326</v>
      </c>
      <c r="FH3" s="284" t="s">
        <v>327</v>
      </c>
      <c r="FI3" s="284" t="s">
        <v>328</v>
      </c>
      <c r="FJ3" s="284" t="s">
        <v>329</v>
      </c>
      <c r="FK3" s="284" t="s">
        <v>330</v>
      </c>
      <c r="FL3" s="364" t="s">
        <v>331</v>
      </c>
      <c r="FM3" s="284" t="s">
        <v>333</v>
      </c>
      <c r="FN3" s="284" t="s">
        <v>334</v>
      </c>
      <c r="FO3" s="284" t="s">
        <v>335</v>
      </c>
      <c r="FP3" s="284" t="s">
        <v>336</v>
      </c>
      <c r="FQ3" s="284" t="s">
        <v>337</v>
      </c>
      <c r="FR3" s="284" t="s">
        <v>338</v>
      </c>
      <c r="FS3" s="284" t="s">
        <v>339</v>
      </c>
      <c r="FT3" s="284" t="s">
        <v>340</v>
      </c>
      <c r="FU3" s="284" t="s">
        <v>341</v>
      </c>
      <c r="FV3" s="284" t="s">
        <v>342</v>
      </c>
      <c r="FW3" s="284" t="s">
        <v>343</v>
      </c>
      <c r="FX3" s="284" t="s">
        <v>344</v>
      </c>
      <c r="FY3" s="364" t="s">
        <v>345</v>
      </c>
      <c r="FZ3" s="284" t="s">
        <v>346</v>
      </c>
      <c r="GA3" s="284" t="s">
        <v>348</v>
      </c>
      <c r="GB3" s="284" t="s">
        <v>349</v>
      </c>
      <c r="GC3" s="284" t="s">
        <v>350</v>
      </c>
      <c r="GD3" s="409" t="s">
        <v>351</v>
      </c>
      <c r="GE3" s="409" t="s">
        <v>352</v>
      </c>
      <c r="GF3" s="409" t="s">
        <v>353</v>
      </c>
      <c r="GG3" s="409" t="s">
        <v>354</v>
      </c>
      <c r="GH3" s="409" t="s">
        <v>355</v>
      </c>
      <c r="GI3" s="409" t="s">
        <v>356</v>
      </c>
      <c r="GJ3" s="409" t="s">
        <v>357</v>
      </c>
      <c r="GK3" s="409" t="s">
        <v>358</v>
      </c>
      <c r="GL3" s="364" t="s">
        <v>360</v>
      </c>
      <c r="GM3" s="284" t="s">
        <v>361</v>
      </c>
      <c r="GN3" s="284" t="s">
        <v>362</v>
      </c>
      <c r="GO3" s="284" t="s">
        <v>363</v>
      </c>
      <c r="GP3" s="284" t="s">
        <v>364</v>
      </c>
      <c r="GQ3" s="284" t="s">
        <v>365</v>
      </c>
      <c r="GR3" s="284" t="s">
        <v>366</v>
      </c>
      <c r="GS3" s="284" t="s">
        <v>367</v>
      </c>
      <c r="GT3" s="284" t="s">
        <v>368</v>
      </c>
      <c r="GU3" s="284" t="s">
        <v>369</v>
      </c>
      <c r="GV3" s="284" t="s">
        <v>370</v>
      </c>
      <c r="GW3" s="284" t="s">
        <v>371</v>
      </c>
      <c r="GX3" s="284" t="s">
        <v>372</v>
      </c>
      <c r="GY3" s="364" t="s">
        <v>373</v>
      </c>
      <c r="GZ3" s="284" t="s">
        <v>374</v>
      </c>
      <c r="HA3" s="284" t="s">
        <v>377</v>
      </c>
      <c r="HB3" s="284" t="s">
        <v>378</v>
      </c>
      <c r="HC3" s="284" t="s">
        <v>379</v>
      </c>
      <c r="HD3" s="284" t="s">
        <v>380</v>
      </c>
      <c r="HE3" s="284" t="s">
        <v>381</v>
      </c>
      <c r="HF3" s="284" t="s">
        <v>382</v>
      </c>
      <c r="HG3" s="284" t="s">
        <v>383</v>
      </c>
      <c r="HH3" s="284" t="s">
        <v>384</v>
      </c>
      <c r="HI3" s="284" t="s">
        <v>385</v>
      </c>
      <c r="HJ3" s="284" t="s">
        <v>386</v>
      </c>
      <c r="HK3" s="284" t="s">
        <v>387</v>
      </c>
      <c r="HL3" s="364" t="s">
        <v>388</v>
      </c>
      <c r="HM3" s="284" t="s">
        <v>390</v>
      </c>
      <c r="HN3" s="265" t="s">
        <v>391</v>
      </c>
      <c r="HO3" s="430" t="s">
        <v>392</v>
      </c>
      <c r="HP3" s="430" t="s">
        <v>393</v>
      </c>
      <c r="HQ3" s="430" t="s">
        <v>394</v>
      </c>
      <c r="HR3" s="430" t="s">
        <v>395</v>
      </c>
      <c r="HS3" s="430" t="s">
        <v>396</v>
      </c>
      <c r="HT3" s="430" t="s">
        <v>397</v>
      </c>
      <c r="HU3" s="430" t="s">
        <v>398</v>
      </c>
      <c r="HV3" s="430" t="s">
        <v>399</v>
      </c>
      <c r="HW3" s="430" t="s">
        <v>400</v>
      </c>
      <c r="HX3" s="430" t="s">
        <v>401</v>
      </c>
      <c r="HY3" s="455" t="s">
        <v>403</v>
      </c>
      <c r="HZ3" s="430" t="s">
        <v>404</v>
      </c>
      <c r="IA3" s="430" t="s">
        <v>405</v>
      </c>
      <c r="IB3" s="430" t="s">
        <v>406</v>
      </c>
      <c r="IC3" s="430" t="s">
        <v>407</v>
      </c>
      <c r="ID3" s="430" t="s">
        <v>408</v>
      </c>
      <c r="IE3" s="430" t="s">
        <v>409</v>
      </c>
      <c r="IF3" s="430" t="s">
        <v>410</v>
      </c>
      <c r="IG3" s="430" t="s">
        <v>411</v>
      </c>
      <c r="IH3" s="430" t="s">
        <v>412</v>
      </c>
      <c r="II3" s="430" t="s">
        <v>413</v>
      </c>
      <c r="IJ3" s="430" t="s">
        <v>414</v>
      </c>
      <c r="IK3" s="430" t="s">
        <v>415</v>
      </c>
      <c r="IL3" s="462" t="s">
        <v>420</v>
      </c>
      <c r="IM3" s="430" t="s">
        <v>421</v>
      </c>
      <c r="IN3" s="430" t="s">
        <v>422</v>
      </c>
      <c r="IO3" s="430" t="s">
        <v>423</v>
      </c>
      <c r="IP3" s="430" t="s">
        <v>424</v>
      </c>
      <c r="IQ3" s="430" t="s">
        <v>425</v>
      </c>
      <c r="IR3" s="430" t="s">
        <v>426</v>
      </c>
      <c r="IS3" s="430" t="s">
        <v>427</v>
      </c>
      <c r="IT3" s="430" t="s">
        <v>428</v>
      </c>
      <c r="IU3" s="430" t="s">
        <v>429</v>
      </c>
      <c r="IV3" s="430" t="s">
        <v>430</v>
      </c>
      <c r="IW3" s="430" t="s">
        <v>431</v>
      </c>
      <c r="IX3" s="430" t="s">
        <v>432</v>
      </c>
      <c r="IY3" s="462" t="s">
        <v>433</v>
      </c>
      <c r="IZ3" s="430" t="s">
        <v>436</v>
      </c>
      <c r="JA3" s="430" t="s">
        <v>437</v>
      </c>
      <c r="JB3" s="430" t="s">
        <v>438</v>
      </c>
      <c r="JC3" s="430" t="s">
        <v>439</v>
      </c>
      <c r="JD3" s="430" t="s">
        <v>440</v>
      </c>
      <c r="JE3" s="430" t="s">
        <v>441</v>
      </c>
      <c r="JF3" s="430" t="s">
        <v>442</v>
      </c>
      <c r="JG3" s="430" t="s">
        <v>443</v>
      </c>
      <c r="JH3" s="430" t="s">
        <v>444</v>
      </c>
      <c r="JI3" s="430" t="s">
        <v>445</v>
      </c>
      <c r="JJ3" s="430" t="s">
        <v>446</v>
      </c>
      <c r="JK3" s="430" t="s">
        <v>447</v>
      </c>
      <c r="JL3" s="462" t="s">
        <v>448</v>
      </c>
      <c r="JM3" s="537" t="s">
        <v>449</v>
      </c>
      <c r="JN3" s="562" t="s">
        <v>450</v>
      </c>
    </row>
    <row r="4" spans="1:274" ht="13.5" customHeight="1" x14ac:dyDescent="0.3">
      <c r="A4" s="545" t="s">
        <v>104</v>
      </c>
      <c r="B4" s="68" t="s">
        <v>108</v>
      </c>
      <c r="C4" s="158">
        <v>1600203</v>
      </c>
      <c r="D4" s="159">
        <v>1703622</v>
      </c>
      <c r="E4" s="158">
        <v>1661484</v>
      </c>
      <c r="F4" s="159">
        <v>1426551</v>
      </c>
      <c r="G4" s="158">
        <v>1346511</v>
      </c>
      <c r="H4" s="159">
        <v>1313725</v>
      </c>
      <c r="I4" s="158">
        <v>1376252</v>
      </c>
      <c r="J4" s="159">
        <v>1310634</v>
      </c>
      <c r="K4" s="158">
        <v>1310600</v>
      </c>
      <c r="L4" s="159">
        <v>1077148</v>
      </c>
      <c r="M4" s="160">
        <v>1061596</v>
      </c>
      <c r="N4" s="159">
        <f>SUM(AA4:AL4)</f>
        <v>1165666</v>
      </c>
      <c r="O4" s="161">
        <v>78356</v>
      </c>
      <c r="P4" s="162">
        <v>88653</v>
      </c>
      <c r="Q4" s="162">
        <v>92779</v>
      </c>
      <c r="R4" s="162">
        <v>87282</v>
      </c>
      <c r="S4" s="162">
        <v>78901</v>
      </c>
      <c r="T4" s="162">
        <v>88877</v>
      </c>
      <c r="U4" s="162">
        <v>90211</v>
      </c>
      <c r="V4" s="162">
        <v>78278</v>
      </c>
      <c r="W4" s="162">
        <v>92807</v>
      </c>
      <c r="X4" s="162">
        <v>93912</v>
      </c>
      <c r="Y4" s="162">
        <v>98022</v>
      </c>
      <c r="Z4" s="163">
        <v>93518</v>
      </c>
      <c r="AA4" s="159">
        <v>86551</v>
      </c>
      <c r="AB4" s="158">
        <v>97894</v>
      </c>
      <c r="AC4" s="159">
        <v>101755</v>
      </c>
      <c r="AD4" s="158">
        <v>96842</v>
      </c>
      <c r="AE4" s="159">
        <v>89167</v>
      </c>
      <c r="AF4" s="158">
        <v>101439</v>
      </c>
      <c r="AG4" s="159">
        <v>98781</v>
      </c>
      <c r="AH4" s="158">
        <v>88899</v>
      </c>
      <c r="AI4" s="159">
        <v>98909</v>
      </c>
      <c r="AJ4" s="158">
        <v>104555</v>
      </c>
      <c r="AK4" s="159">
        <v>101785</v>
      </c>
      <c r="AL4" s="158">
        <v>99089</v>
      </c>
      <c r="AM4" s="159">
        <f>SUM(AN4:AY4)</f>
        <v>1085509</v>
      </c>
      <c r="AN4" s="164">
        <f>AN8+AN12+AN16+AN20+AN24+AN28</f>
        <v>87706</v>
      </c>
      <c r="AO4" s="159">
        <f t="shared" ref="AO4:AP6" si="0">AO8+AO12+AO16+AO20+AO24+AO28</f>
        <v>99650</v>
      </c>
      <c r="AP4" s="165">
        <f t="shared" si="0"/>
        <v>100269</v>
      </c>
      <c r="AQ4" s="166">
        <f>AQ8+AQ12+AQ16+AQ20+AQ24+AQ28</f>
        <v>97017</v>
      </c>
      <c r="AR4" s="166">
        <f t="shared" ref="AR4:AY4" si="1">AR8+AR12+AR16+AR20+AR24+AR28</f>
        <v>84824</v>
      </c>
      <c r="AS4" s="166">
        <f t="shared" si="1"/>
        <v>92792</v>
      </c>
      <c r="AT4" s="166">
        <f t="shared" si="1"/>
        <v>89683</v>
      </c>
      <c r="AU4" s="166">
        <v>80607</v>
      </c>
      <c r="AV4" s="166">
        <f t="shared" si="1"/>
        <v>89124</v>
      </c>
      <c r="AW4" s="166">
        <v>90494</v>
      </c>
      <c r="AX4" s="166">
        <f t="shared" si="1"/>
        <v>89016</v>
      </c>
      <c r="AY4" s="167">
        <f t="shared" si="1"/>
        <v>84327</v>
      </c>
      <c r="AZ4" s="168">
        <f>SUM(BA4:BL4)</f>
        <v>1101533</v>
      </c>
      <c r="BA4" s="169">
        <f t="shared" ref="BA4:BF4" si="2">+BA8+BA12+BA16+BA20+BA24+BA28</f>
        <v>75820</v>
      </c>
      <c r="BB4" s="170">
        <f t="shared" si="2"/>
        <v>87902</v>
      </c>
      <c r="BC4" s="170">
        <f t="shared" si="2"/>
        <v>89460</v>
      </c>
      <c r="BD4" s="170">
        <f t="shared" si="2"/>
        <v>86807</v>
      </c>
      <c r="BE4" s="170">
        <f t="shared" si="2"/>
        <v>84314</v>
      </c>
      <c r="BF4" s="170">
        <f t="shared" si="2"/>
        <v>93263</v>
      </c>
      <c r="BG4" s="170">
        <f t="shared" ref="BG4:BL4" si="3">+BG8+BG12+BG16+BG20+BG24+BG28</f>
        <v>98507</v>
      </c>
      <c r="BH4" s="170">
        <f t="shared" si="3"/>
        <v>82041</v>
      </c>
      <c r="BI4" s="170">
        <f t="shared" si="3"/>
        <v>99790</v>
      </c>
      <c r="BJ4" s="170">
        <f t="shared" si="3"/>
        <v>101695</v>
      </c>
      <c r="BK4" s="170">
        <f t="shared" si="3"/>
        <v>101982</v>
      </c>
      <c r="BL4" s="170">
        <f t="shared" si="3"/>
        <v>99952</v>
      </c>
      <c r="BM4" s="171">
        <f t="shared" ref="BM4:BR4" si="4">+BM8+BM12+BM16+BM20+BM24+BM28</f>
        <v>92102</v>
      </c>
      <c r="BN4" s="171">
        <f t="shared" si="4"/>
        <v>105012</v>
      </c>
      <c r="BO4" s="171">
        <f t="shared" si="4"/>
        <v>107423</v>
      </c>
      <c r="BP4" s="171">
        <f t="shared" si="4"/>
        <v>106461</v>
      </c>
      <c r="BQ4" s="171">
        <f t="shared" si="4"/>
        <v>101104</v>
      </c>
      <c r="BR4" s="171">
        <f t="shared" si="4"/>
        <v>120141</v>
      </c>
      <c r="BS4" s="171">
        <f t="shared" ref="BS4:BX4" si="5">+BS8+BS12+BS16+BS20+BS24+BS28</f>
        <v>119151</v>
      </c>
      <c r="BT4" s="171">
        <f t="shared" si="5"/>
        <v>98680</v>
      </c>
      <c r="BU4" s="171">
        <f t="shared" si="5"/>
        <v>120227</v>
      </c>
      <c r="BV4" s="171">
        <f t="shared" si="5"/>
        <v>124667</v>
      </c>
      <c r="BW4" s="171">
        <f t="shared" si="5"/>
        <v>120623</v>
      </c>
      <c r="BX4" s="171">
        <f t="shared" si="5"/>
        <v>120777</v>
      </c>
      <c r="BY4" s="168">
        <f>SUM(BM4:BX4)</f>
        <v>1336368</v>
      </c>
      <c r="BZ4" s="170">
        <f>+BZ8+BZ12+BZ16+BZ20+BZ24+BZ28</f>
        <v>110777</v>
      </c>
      <c r="CA4" s="170">
        <f>+CA8+CA12+CA16+CA20+CA24+CA28</f>
        <v>124822</v>
      </c>
      <c r="CB4" s="170">
        <f>+CB8+CB12+CB16+CB20+CB24+CB28</f>
        <v>134134</v>
      </c>
      <c r="CC4" s="170">
        <f>+CC8+CC12+CC16+CC20+CC24+CC28</f>
        <v>129087</v>
      </c>
      <c r="CD4" s="170">
        <f>+CD8+CD12+CD16+CD20+CD24+CD28</f>
        <v>116258</v>
      </c>
      <c r="CE4" s="172">
        <f t="shared" ref="CE4:CJ4" si="6">SUM(CE8,CE12,CE16,CE20,CE24,CE28)</f>
        <v>134028</v>
      </c>
      <c r="CF4" s="172">
        <f t="shared" si="6"/>
        <v>133032</v>
      </c>
      <c r="CG4" s="172">
        <f t="shared" si="6"/>
        <v>118902</v>
      </c>
      <c r="CH4" s="172">
        <f t="shared" si="6"/>
        <v>136085</v>
      </c>
      <c r="CI4" s="172">
        <f t="shared" si="6"/>
        <v>135662</v>
      </c>
      <c r="CJ4" s="172">
        <f t="shared" si="6"/>
        <v>140347</v>
      </c>
      <c r="CK4" s="339">
        <f t="shared" ref="CK4:CQ4" si="7">SUM(CK8,CK12,CK16,CK20,CK24,CK28)</f>
        <v>135186</v>
      </c>
      <c r="CL4" s="337">
        <f>SUM(BZ4:CK4)</f>
        <v>1548320</v>
      </c>
      <c r="CM4" s="267">
        <f t="shared" si="7"/>
        <v>122976</v>
      </c>
      <c r="CN4" s="268">
        <f t="shared" si="7"/>
        <v>135673</v>
      </c>
      <c r="CO4" s="268">
        <f t="shared" si="7"/>
        <v>141350</v>
      </c>
      <c r="CP4" s="356">
        <f t="shared" si="7"/>
        <v>141532</v>
      </c>
      <c r="CQ4" s="356">
        <f t="shared" si="7"/>
        <v>126867</v>
      </c>
      <c r="CR4" s="356">
        <f t="shared" ref="CR4:CW4" si="8">SUM(CR8,CR12,CR16,CR20,CR24,CR28)</f>
        <v>146255</v>
      </c>
      <c r="CS4" s="356">
        <f t="shared" si="8"/>
        <v>143534</v>
      </c>
      <c r="CT4" s="356">
        <f t="shared" si="8"/>
        <v>131203</v>
      </c>
      <c r="CU4" s="356">
        <f t="shared" si="8"/>
        <v>150736</v>
      </c>
      <c r="CV4" s="356">
        <f t="shared" si="8"/>
        <v>150397</v>
      </c>
      <c r="CW4" s="356">
        <f t="shared" si="8"/>
        <v>147747</v>
      </c>
      <c r="CX4" s="348">
        <f>SUM(CX8,CX12,CX16,CX20,CX24,CX28)</f>
        <v>145334</v>
      </c>
      <c r="CY4" s="365">
        <f>SUM(CM4:CX4)</f>
        <v>1683604</v>
      </c>
      <c r="CZ4" s="356">
        <f t="shared" ref="CZ4:DE4" si="9">SUM(CZ8,CZ12,CZ16,CZ20,CZ24,CZ28)</f>
        <v>133577</v>
      </c>
      <c r="DA4" s="356">
        <f t="shared" si="9"/>
        <v>148029</v>
      </c>
      <c r="DB4" s="356">
        <f t="shared" si="9"/>
        <v>156132</v>
      </c>
      <c r="DC4" s="356">
        <f t="shared" si="9"/>
        <v>149591</v>
      </c>
      <c r="DD4" s="356">
        <f t="shared" si="9"/>
        <v>133597</v>
      </c>
      <c r="DE4" s="356">
        <f t="shared" si="9"/>
        <v>151455</v>
      </c>
      <c r="DF4" s="356">
        <f t="shared" ref="DF4:DK4" si="10">SUM(DF8,DF12,DF16,DF20,DF24,DF28)</f>
        <v>147976</v>
      </c>
      <c r="DG4" s="356">
        <f t="shared" si="10"/>
        <v>131199</v>
      </c>
      <c r="DH4" s="356">
        <f t="shared" si="10"/>
        <v>149858</v>
      </c>
      <c r="DI4" s="356">
        <f t="shared" si="10"/>
        <v>155503</v>
      </c>
      <c r="DJ4" s="356">
        <f t="shared" si="10"/>
        <v>153747</v>
      </c>
      <c r="DK4" s="356">
        <f t="shared" si="10"/>
        <v>149975</v>
      </c>
      <c r="DL4" s="365">
        <f>SUM(CZ4:DK4)</f>
        <v>1760639</v>
      </c>
      <c r="DM4" s="356">
        <f t="shared" ref="DM4:DR4" si="11">SUM(DM8,DM12,DM16,DM20,DM24,DM28)</f>
        <v>135191</v>
      </c>
      <c r="DN4" s="356">
        <f t="shared" si="11"/>
        <v>153668</v>
      </c>
      <c r="DO4" s="356">
        <f t="shared" si="11"/>
        <v>161540</v>
      </c>
      <c r="DP4" s="356">
        <f t="shared" si="11"/>
        <v>156677</v>
      </c>
      <c r="DQ4" s="356">
        <f t="shared" si="11"/>
        <v>149699</v>
      </c>
      <c r="DR4" s="356">
        <f t="shared" si="11"/>
        <v>161182</v>
      </c>
      <c r="DS4" s="356">
        <f t="shared" ref="DS4:DX4" si="12">SUM(DS8,DS12,DS16,DS20,DS24,DS28)</f>
        <v>161868</v>
      </c>
      <c r="DT4" s="356">
        <f t="shared" si="12"/>
        <v>138849</v>
      </c>
      <c r="DU4" s="356">
        <f t="shared" si="12"/>
        <v>159869</v>
      </c>
      <c r="DV4" s="356">
        <f t="shared" si="12"/>
        <v>168808</v>
      </c>
      <c r="DW4" s="356">
        <f t="shared" si="12"/>
        <v>167299</v>
      </c>
      <c r="DX4" s="356">
        <f t="shared" si="12"/>
        <v>158772</v>
      </c>
      <c r="DY4" s="365">
        <f>SUM(DM4:DX4)</f>
        <v>1873422</v>
      </c>
      <c r="DZ4" s="386">
        <f t="shared" ref="DZ4:EE4" si="13">SUM(DZ8,DZ12,DZ16,DZ20,DZ24,DZ28)</f>
        <v>140936</v>
      </c>
      <c r="EA4" s="386">
        <f t="shared" si="13"/>
        <v>166567</v>
      </c>
      <c r="EB4" s="386">
        <f t="shared" si="13"/>
        <v>169950</v>
      </c>
      <c r="EC4" s="386">
        <f t="shared" si="13"/>
        <v>165784</v>
      </c>
      <c r="ED4" s="386">
        <f t="shared" si="13"/>
        <v>152040</v>
      </c>
      <c r="EE4" s="386">
        <f t="shared" si="13"/>
        <v>168729</v>
      </c>
      <c r="EF4" s="386">
        <f t="shared" ref="EF4:EK4" si="14">SUM(EF8,EF12,EF16,EF20,EF24,EF28)</f>
        <v>170114</v>
      </c>
      <c r="EG4" s="386">
        <f t="shared" si="14"/>
        <v>137952</v>
      </c>
      <c r="EH4" s="386">
        <f t="shared" si="14"/>
        <v>166159</v>
      </c>
      <c r="EI4" s="386">
        <f t="shared" si="14"/>
        <v>165068</v>
      </c>
      <c r="EJ4" s="386">
        <f t="shared" si="14"/>
        <v>144860</v>
      </c>
      <c r="EK4" s="386">
        <f t="shared" si="14"/>
        <v>117925</v>
      </c>
      <c r="EL4" s="365">
        <f>SUM(DZ4:EK4)</f>
        <v>1866084</v>
      </c>
      <c r="EM4" s="386">
        <f t="shared" ref="EM4:ER4" si="15">SUM(EM8,EM12,EM16,EM20,EM24,EM28)</f>
        <v>82175</v>
      </c>
      <c r="EN4" s="386">
        <f t="shared" si="15"/>
        <v>74797</v>
      </c>
      <c r="EO4" s="386">
        <f t="shared" si="15"/>
        <v>70829</v>
      </c>
      <c r="EP4" s="386">
        <f t="shared" si="15"/>
        <v>70677</v>
      </c>
      <c r="EQ4" s="386">
        <f t="shared" si="15"/>
        <v>67849</v>
      </c>
      <c r="ER4" s="386">
        <f t="shared" si="15"/>
        <v>81423</v>
      </c>
      <c r="ES4" s="386">
        <f t="shared" ref="ES4:EX4" si="16">SUM(ES8,ES12,ES16,ES20,ES24,ES28)</f>
        <v>84611</v>
      </c>
      <c r="ET4" s="386">
        <f t="shared" si="16"/>
        <v>74453</v>
      </c>
      <c r="EU4" s="386">
        <f t="shared" si="16"/>
        <v>91586</v>
      </c>
      <c r="EV4" s="386">
        <f t="shared" si="16"/>
        <v>97836</v>
      </c>
      <c r="EW4" s="386">
        <f t="shared" si="16"/>
        <v>101548</v>
      </c>
      <c r="EX4" s="386">
        <f t="shared" si="16"/>
        <v>99208</v>
      </c>
      <c r="EY4" s="365">
        <f>SUM(EM4:EX4)</f>
        <v>996992</v>
      </c>
      <c r="EZ4" s="386">
        <f t="shared" ref="EZ4:FE4" si="17">SUM(EZ8,EZ12,EZ16,EZ20,EZ24,EZ28)</f>
        <v>93549</v>
      </c>
      <c r="FA4" s="386">
        <f t="shared" si="17"/>
        <v>107646</v>
      </c>
      <c r="FB4" s="386">
        <f t="shared" si="17"/>
        <v>117226</v>
      </c>
      <c r="FC4" s="386">
        <f t="shared" si="17"/>
        <v>114356</v>
      </c>
      <c r="FD4" s="386">
        <f t="shared" si="17"/>
        <v>107014</v>
      </c>
      <c r="FE4" s="386">
        <f t="shared" si="17"/>
        <v>130085</v>
      </c>
      <c r="FF4" s="386">
        <f t="shared" ref="FF4:FK4" si="18">SUM(FF8,FF12,FF16,FF20,FF24,FF28)</f>
        <v>130326</v>
      </c>
      <c r="FG4" s="386">
        <f t="shared" si="18"/>
        <v>112017</v>
      </c>
      <c r="FH4" s="386">
        <f t="shared" si="18"/>
        <v>129837.70000000001</v>
      </c>
      <c r="FI4" s="386">
        <f t="shared" si="18"/>
        <v>128845.29999999999</v>
      </c>
      <c r="FJ4" s="386">
        <f t="shared" si="18"/>
        <v>135507.6</v>
      </c>
      <c r="FK4" s="386">
        <f t="shared" si="18"/>
        <v>131498.1</v>
      </c>
      <c r="FL4" s="365">
        <f>SUM(EZ4:FK4)</f>
        <v>1437907.7000000002</v>
      </c>
      <c r="FM4" s="386">
        <f t="shared" ref="FM4:FR4" si="19">SUM(FM8,FM12,FM16,FM20,FM24,FM28)</f>
        <v>120581.70000000001</v>
      </c>
      <c r="FN4" s="386">
        <f t="shared" si="19"/>
        <v>137453.5</v>
      </c>
      <c r="FO4" s="386">
        <f t="shared" si="19"/>
        <v>133509</v>
      </c>
      <c r="FP4" s="386">
        <f t="shared" si="19"/>
        <v>122210.35</v>
      </c>
      <c r="FQ4" s="386">
        <f t="shared" si="19"/>
        <v>112102.1</v>
      </c>
      <c r="FR4" s="386">
        <f t="shared" si="19"/>
        <v>138756</v>
      </c>
      <c r="FS4" s="386">
        <f t="shared" ref="FS4:FX4" si="20">SUM(FS8,FS12,FS16,FS20,FS24,FS28)</f>
        <v>138776.80000000002</v>
      </c>
      <c r="FT4" s="386">
        <f t="shared" si="20"/>
        <v>124207.7</v>
      </c>
      <c r="FU4" s="386">
        <f t="shared" si="20"/>
        <v>145368.6</v>
      </c>
      <c r="FV4" s="386">
        <f t="shared" si="20"/>
        <v>147677.90000000002</v>
      </c>
      <c r="FW4" s="386">
        <f t="shared" si="20"/>
        <v>146069.30000000002</v>
      </c>
      <c r="FX4" s="386">
        <f t="shared" si="20"/>
        <v>144348.79999999999</v>
      </c>
      <c r="FY4" s="365">
        <f>SUM(FM4:FX4)</f>
        <v>1611061.75</v>
      </c>
      <c r="FZ4" s="386">
        <f t="shared" ref="FZ4:GE4" si="21">SUM(FZ8,FZ12,FZ16,FZ20,FZ24,FZ28)</f>
        <v>123024.2</v>
      </c>
      <c r="GA4" s="386">
        <f t="shared" si="21"/>
        <v>141738.79999999999</v>
      </c>
      <c r="GB4" s="386">
        <f t="shared" si="21"/>
        <v>141488.9</v>
      </c>
      <c r="GC4" s="386">
        <f t="shared" si="21"/>
        <v>136368.6</v>
      </c>
      <c r="GD4" s="410">
        <f t="shared" si="21"/>
        <v>125709.39999999998</v>
      </c>
      <c r="GE4" s="410">
        <f t="shared" si="21"/>
        <v>139642.50000000003</v>
      </c>
      <c r="GF4" s="410">
        <f t="shared" ref="GF4:GK4" si="22">SUM(GF8,GF12,GF16,GF20,GF24,GF28)</f>
        <v>137164.29999999999</v>
      </c>
      <c r="GG4" s="410">
        <f t="shared" si="22"/>
        <v>108238.5</v>
      </c>
      <c r="GH4" s="410">
        <f t="shared" si="22"/>
        <v>125845.09999999999</v>
      </c>
      <c r="GI4" s="410">
        <f t="shared" si="22"/>
        <v>128177.50000000001</v>
      </c>
      <c r="GJ4" s="410">
        <f t="shared" si="22"/>
        <v>119958.3</v>
      </c>
      <c r="GK4" s="410">
        <f t="shared" si="22"/>
        <v>111436.4</v>
      </c>
      <c r="GL4" s="365">
        <f>SUM(FZ4:GK4)</f>
        <v>1538792.5</v>
      </c>
      <c r="GM4" s="386">
        <f t="shared" ref="GM4:GR4" si="23">SUM(GM8,GM12,GM16,GM20,GM24,GM28)</f>
        <v>109187.90000000001</v>
      </c>
      <c r="GN4" s="386">
        <f t="shared" si="23"/>
        <v>126932.70000000001</v>
      </c>
      <c r="GO4" s="386">
        <f t="shared" si="23"/>
        <v>129370</v>
      </c>
      <c r="GP4" s="386">
        <f t="shared" si="23"/>
        <v>133614.49999999997</v>
      </c>
      <c r="GQ4" s="386">
        <f t="shared" si="23"/>
        <v>127567.50000000001</v>
      </c>
      <c r="GR4" s="386">
        <f t="shared" si="23"/>
        <v>136047.9</v>
      </c>
      <c r="GS4" s="386">
        <f t="shared" ref="GS4:GX4" si="24">SUM(GS8,GS12,GS16,GS20,GS24,GS28)</f>
        <v>143559.22500000001</v>
      </c>
      <c r="GT4" s="386">
        <f t="shared" si="24"/>
        <v>116741.70000000001</v>
      </c>
      <c r="GU4" s="386">
        <f t="shared" si="24"/>
        <v>141968</v>
      </c>
      <c r="GV4" s="386">
        <f t="shared" si="24"/>
        <v>144365.79999999999</v>
      </c>
      <c r="GW4" s="386">
        <f t="shared" si="24"/>
        <v>144288.50000000003</v>
      </c>
      <c r="GX4" s="386">
        <f t="shared" si="24"/>
        <v>136373.79999999999</v>
      </c>
      <c r="GY4" s="365">
        <f>SUM(GM4:GX4)</f>
        <v>1590017.5250000001</v>
      </c>
      <c r="GZ4" s="386">
        <f t="shared" ref="GZ4:HE4" si="25">SUM(GZ8,GZ12,GZ16,GZ20,GZ24,GZ28)</f>
        <v>129772.9</v>
      </c>
      <c r="HA4" s="386">
        <f t="shared" si="25"/>
        <v>142130.59999999998</v>
      </c>
      <c r="HB4" s="386">
        <f t="shared" si="25"/>
        <v>144417.30000000002</v>
      </c>
      <c r="HC4" s="386">
        <f t="shared" si="25"/>
        <v>142669.5</v>
      </c>
      <c r="HD4" s="386">
        <f t="shared" si="25"/>
        <v>134261.1</v>
      </c>
      <c r="HE4" s="386">
        <f t="shared" si="25"/>
        <v>150196.29999999999</v>
      </c>
      <c r="HF4" s="386">
        <f t="shared" ref="HF4:HK4" si="26">SUM(HF8,HF12,HF16,HF20,HF24,HF28)</f>
        <v>152178.79999999999</v>
      </c>
      <c r="HG4" s="386">
        <f t="shared" si="26"/>
        <v>122660.50000000001</v>
      </c>
      <c r="HH4" s="386">
        <f t="shared" si="26"/>
        <v>161089.60000000001</v>
      </c>
      <c r="HI4" s="386">
        <f t="shared" si="26"/>
        <v>152882</v>
      </c>
      <c r="HJ4" s="386">
        <f t="shared" si="26"/>
        <v>142953.90000000002</v>
      </c>
      <c r="HK4" s="386">
        <f t="shared" si="26"/>
        <v>140884.10000000003</v>
      </c>
      <c r="HL4" s="365">
        <f>SUM(GZ4:HK4)</f>
        <v>1716096.6</v>
      </c>
      <c r="HM4" s="386">
        <f t="shared" ref="HM4:HX4" si="27">SUM(HM8,HM12,HM16,HM20,HM24,HM28)</f>
        <v>130854.8</v>
      </c>
      <c r="HN4" s="267">
        <f t="shared" si="27"/>
        <v>142738.08342245992</v>
      </c>
      <c r="HO4" s="410">
        <f t="shared" si="27"/>
        <v>147858.0959893048</v>
      </c>
      <c r="HP4" s="267">
        <f t="shared" si="27"/>
        <v>142280.47112299467</v>
      </c>
      <c r="HQ4" s="410">
        <f t="shared" si="27"/>
        <v>125038.75828877007</v>
      </c>
      <c r="HR4" s="410">
        <f t="shared" si="27"/>
        <v>149836.87058823527</v>
      </c>
      <c r="HS4" s="410">
        <f t="shared" si="27"/>
        <v>145752.57058823531</v>
      </c>
      <c r="HT4" s="410">
        <f t="shared" si="27"/>
        <v>118086.38834224599</v>
      </c>
      <c r="HU4" s="410">
        <f t="shared" si="27"/>
        <v>143058.85588235295</v>
      </c>
      <c r="HV4" s="410">
        <f t="shared" si="27"/>
        <v>140317.90219251337</v>
      </c>
      <c r="HW4" s="410">
        <f t="shared" si="27"/>
        <v>138579.07112299465</v>
      </c>
      <c r="HX4" s="410">
        <f t="shared" si="27"/>
        <v>128117.99411764706</v>
      </c>
      <c r="HY4" s="456">
        <f>SUM(HM4:HX4)</f>
        <v>1652519.8616577541</v>
      </c>
      <c r="HZ4" s="410">
        <f t="shared" ref="HM4:IK6" si="28">SUM(HZ8,HZ12,HZ16,HZ20,HZ24,HZ28)</f>
        <v>121700.69411764706</v>
      </c>
      <c r="IA4" s="410">
        <f t="shared" si="28"/>
        <v>140041.84064171123</v>
      </c>
      <c r="IB4" s="410">
        <f t="shared" si="28"/>
        <v>143232.24064171122</v>
      </c>
      <c r="IC4" s="410">
        <f t="shared" si="28"/>
        <v>137712.14064171122</v>
      </c>
      <c r="ID4" s="410">
        <f t="shared" si="28"/>
        <v>120462.44064171123</v>
      </c>
      <c r="IE4" s="410">
        <f t="shared" si="28"/>
        <v>143169.95064171127</v>
      </c>
      <c r="IF4" s="410">
        <f t="shared" si="28"/>
        <v>138949.11497326204</v>
      </c>
      <c r="IG4" s="410">
        <f t="shared" si="28"/>
        <v>121968.04812834227</v>
      </c>
      <c r="IH4" s="410">
        <f t="shared" si="28"/>
        <v>143715.85422459891</v>
      </c>
      <c r="II4" s="410">
        <f t="shared" si="28"/>
        <v>140579.91</v>
      </c>
      <c r="IJ4" s="410">
        <f t="shared" si="28"/>
        <v>146597.41069518717</v>
      </c>
      <c r="IK4" s="410">
        <f t="shared" si="28"/>
        <v>139987.9</v>
      </c>
      <c r="IL4" s="463">
        <f>SUM(HZ4:IK4)</f>
        <v>1638117.5453475937</v>
      </c>
      <c r="IM4" s="410">
        <f>SUM(IM8,IM12,IM16,IM20,IM24,IM28)</f>
        <v>128193</v>
      </c>
      <c r="IN4" s="500">
        <f t="shared" ref="IN4:IU6" si="29">SUM(IN8,IN12,IN16,IN20,IN24,IN28)</f>
        <v>144101</v>
      </c>
      <c r="IO4" s="500">
        <f t="shared" si="29"/>
        <v>155031</v>
      </c>
      <c r="IP4" s="500">
        <f t="shared" si="29"/>
        <v>144914</v>
      </c>
      <c r="IQ4" s="500">
        <f t="shared" si="29"/>
        <v>128351</v>
      </c>
      <c r="IR4" s="500">
        <f t="shared" si="29"/>
        <v>152605</v>
      </c>
      <c r="IS4" s="500">
        <f t="shared" si="29"/>
        <v>152246</v>
      </c>
      <c r="IT4" s="500">
        <f t="shared" si="29"/>
        <v>129857</v>
      </c>
      <c r="IU4" s="500">
        <f>SUM(IU8,IU12,IU16,IU20,IU24,IU28)-1</f>
        <v>144205</v>
      </c>
      <c r="IV4" s="500">
        <f t="shared" ref="IV4:IW6" si="30">SUM(IV8,IV12,IV16,IV20,IV24,IV28)</f>
        <v>149915</v>
      </c>
      <c r="IW4" s="500">
        <f>SUM(IW8,IW12,IW16,IW20,IW24,IW28)</f>
        <v>159262</v>
      </c>
      <c r="IX4" s="500">
        <f t="shared" ref="IX4:IX6" si="31">SUM(IX8,IX12,IX16,IX20,IX24,IX28)</f>
        <v>148221</v>
      </c>
      <c r="IY4" s="463">
        <f>SUM(IM4:IX4)</f>
        <v>1736901</v>
      </c>
      <c r="IZ4" s="500">
        <f>SUM(IZ8,IZ12,IZ16,IZ20,IZ24,IZ28)</f>
        <v>129553</v>
      </c>
      <c r="JA4" s="500">
        <f>SUM(JA8,JA12,JA16,JA20,JA24,JA28)</f>
        <v>149544</v>
      </c>
      <c r="JB4" s="500">
        <f t="shared" ref="JB4:JG4" si="32">SUM(JB8,JB12,JB16,JB20,JB24,JB28)</f>
        <v>160429</v>
      </c>
      <c r="JC4" s="500">
        <f t="shared" si="32"/>
        <v>155340</v>
      </c>
      <c r="JD4" s="500">
        <f t="shared" si="32"/>
        <v>143230</v>
      </c>
      <c r="JE4" s="500">
        <f t="shared" si="32"/>
        <v>161931</v>
      </c>
      <c r="JF4" s="500">
        <f t="shared" si="32"/>
        <v>160835</v>
      </c>
      <c r="JG4" s="500">
        <f t="shared" si="32"/>
        <v>138347</v>
      </c>
      <c r="JH4" s="500">
        <f>SUM(JH8,JH12,JH16,JH20,JH24,JH28)</f>
        <v>152280</v>
      </c>
      <c r="JI4" s="500">
        <f t="shared" ref="JI4:JK4" si="33">SUM(JI8,JI12,JI16,JI20,JI24,JI28)</f>
        <v>165622</v>
      </c>
      <c r="JJ4" s="500">
        <f t="shared" si="33"/>
        <v>155924</v>
      </c>
      <c r="JK4" s="500">
        <f t="shared" si="33"/>
        <v>154880</v>
      </c>
      <c r="JL4" s="509">
        <f>SUM(IZ4:JK4)</f>
        <v>1827915</v>
      </c>
      <c r="JM4" s="500">
        <f t="shared" ref="JM4:JN4" si="34">JM8+JM12+JM16+JM20+JM24+JM28</f>
        <v>132836</v>
      </c>
      <c r="JN4" s="563">
        <f t="shared" si="34"/>
        <v>155465</v>
      </c>
    </row>
    <row r="5" spans="1:274" ht="13.5" customHeight="1" thickBot="1" x14ac:dyDescent="0.35">
      <c r="A5" s="547"/>
      <c r="B5" s="43" t="s">
        <v>102</v>
      </c>
      <c r="C5" s="173"/>
      <c r="D5" s="174">
        <f>(D4/C4-1)*100</f>
        <v>6.4628675236829247</v>
      </c>
      <c r="E5" s="174">
        <f t="shared" ref="E5:N5" si="35">(E4/D4-1)*100</f>
        <v>-2.4734360086920648</v>
      </c>
      <c r="F5" s="174">
        <f t="shared" si="35"/>
        <v>-14.139949587236467</v>
      </c>
      <c r="G5" s="174">
        <f t="shared" si="35"/>
        <v>-5.6107352628822937</v>
      </c>
      <c r="H5" s="174">
        <f t="shared" si="35"/>
        <v>-2.4348854186857727</v>
      </c>
      <c r="I5" s="174">
        <f t="shared" si="35"/>
        <v>4.7595196863879474</v>
      </c>
      <c r="J5" s="174">
        <f t="shared" si="35"/>
        <v>-4.7678768132580318</v>
      </c>
      <c r="K5" s="174">
        <f t="shared" si="35"/>
        <v>-2.5941643509885814E-3</v>
      </c>
      <c r="L5" s="174">
        <f t="shared" si="35"/>
        <v>-17.81260491377995</v>
      </c>
      <c r="M5" s="174">
        <f t="shared" si="35"/>
        <v>-1.4438127351116048</v>
      </c>
      <c r="N5" s="174">
        <f t="shared" si="35"/>
        <v>9.8031642922542961</v>
      </c>
      <c r="O5" s="175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7"/>
      <c r="AA5" s="174">
        <f>(AA4/O4-1)*100</f>
        <v>10.458675787431716</v>
      </c>
      <c r="AB5" s="174">
        <f t="shared" ref="AB5:AL5" si="36">(AB4/P4-1)*100</f>
        <v>10.423787125083184</v>
      </c>
      <c r="AC5" s="174">
        <f t="shared" si="36"/>
        <v>9.6746030890610957</v>
      </c>
      <c r="AD5" s="174">
        <f t="shared" si="36"/>
        <v>10.953002910107479</v>
      </c>
      <c r="AE5" s="174">
        <f t="shared" si="36"/>
        <v>13.011241936097129</v>
      </c>
      <c r="AF5" s="174">
        <f t="shared" si="36"/>
        <v>14.134140441284027</v>
      </c>
      <c r="AG5" s="174">
        <f t="shared" si="36"/>
        <v>9.4999501169480425</v>
      </c>
      <c r="AH5" s="174">
        <f t="shared" si="36"/>
        <v>13.568307825953664</v>
      </c>
      <c r="AI5" s="174">
        <f t="shared" si="36"/>
        <v>6.5749350803279816</v>
      </c>
      <c r="AJ5" s="174">
        <f t="shared" si="36"/>
        <v>11.332949995740705</v>
      </c>
      <c r="AK5" s="174">
        <f t="shared" si="36"/>
        <v>3.8389341168309166</v>
      </c>
      <c r="AL5" s="178">
        <f t="shared" si="36"/>
        <v>5.9571419405889836</v>
      </c>
      <c r="AM5" s="174">
        <f>(AM4/N4-1)*100</f>
        <v>-6.8764980706308654</v>
      </c>
      <c r="AN5" s="179">
        <f t="shared" ref="AN5:AY5" si="37">(AN4/AA4-1)*100</f>
        <v>1.3344733163106248</v>
      </c>
      <c r="AO5" s="174">
        <f t="shared" si="37"/>
        <v>1.7937769424070993</v>
      </c>
      <c r="AP5" s="178">
        <f t="shared" si="37"/>
        <v>-1.4603704977642407</v>
      </c>
      <c r="AQ5" s="174">
        <f t="shared" si="37"/>
        <v>0.18070671815948458</v>
      </c>
      <c r="AR5" s="174">
        <f t="shared" si="37"/>
        <v>-4.8706359976224416</v>
      </c>
      <c r="AS5" s="180">
        <f t="shared" si="37"/>
        <v>-8.5243348219126709</v>
      </c>
      <c r="AT5" s="174">
        <f t="shared" si="37"/>
        <v>-9.2102732306820094</v>
      </c>
      <c r="AU5" s="180">
        <f t="shared" si="37"/>
        <v>-9.3274390038133212</v>
      </c>
      <c r="AV5" s="174">
        <f t="shared" si="37"/>
        <v>-9.8929318868859255</v>
      </c>
      <c r="AW5" s="180">
        <f t="shared" si="37"/>
        <v>-13.448424274305392</v>
      </c>
      <c r="AX5" s="174">
        <f t="shared" si="37"/>
        <v>-12.545070491722754</v>
      </c>
      <c r="AY5" s="181">
        <f t="shared" si="37"/>
        <v>-14.897718212919697</v>
      </c>
      <c r="AZ5" s="182">
        <f t="shared" ref="AZ5:BL5" si="38">(AZ4/AM4-1)*100</f>
        <v>1.4761738502398369</v>
      </c>
      <c r="BA5" s="183">
        <f t="shared" si="38"/>
        <v>-13.552094497525824</v>
      </c>
      <c r="BB5" s="184">
        <f t="shared" si="38"/>
        <v>-11.789262418464631</v>
      </c>
      <c r="BC5" s="184">
        <f t="shared" si="38"/>
        <v>-10.780001795170991</v>
      </c>
      <c r="BD5" s="184">
        <f t="shared" si="38"/>
        <v>-10.523928795984204</v>
      </c>
      <c r="BE5" s="184">
        <f t="shared" si="38"/>
        <v>-0.60124493068000051</v>
      </c>
      <c r="BF5" s="184">
        <f t="shared" si="38"/>
        <v>0.50758686093628214</v>
      </c>
      <c r="BG5" s="184">
        <f t="shared" si="38"/>
        <v>9.8390999409029511</v>
      </c>
      <c r="BH5" s="184">
        <f t="shared" si="38"/>
        <v>1.7790018236629512</v>
      </c>
      <c r="BI5" s="184">
        <f t="shared" si="38"/>
        <v>11.967595709348778</v>
      </c>
      <c r="BJ5" s="184">
        <f t="shared" si="38"/>
        <v>12.377616195548867</v>
      </c>
      <c r="BK5" s="184">
        <f t="shared" si="38"/>
        <v>14.565920733351302</v>
      </c>
      <c r="BL5" s="184">
        <f t="shared" si="38"/>
        <v>18.529059494586541</v>
      </c>
      <c r="BM5" s="185">
        <f t="shared" ref="BM5:BX5" si="39">(BM4/BA4-1)*100</f>
        <v>21.474544974940656</v>
      </c>
      <c r="BN5" s="185">
        <f t="shared" si="39"/>
        <v>19.464858592523491</v>
      </c>
      <c r="BO5" s="185">
        <f t="shared" si="39"/>
        <v>20.079365079365076</v>
      </c>
      <c r="BP5" s="185">
        <f t="shared" si="39"/>
        <v>22.641031253239952</v>
      </c>
      <c r="BQ5" s="185">
        <f t="shared" si="39"/>
        <v>19.913656095073186</v>
      </c>
      <c r="BR5" s="185">
        <f t="shared" si="39"/>
        <v>28.819574750973054</v>
      </c>
      <c r="BS5" s="185">
        <f t="shared" si="39"/>
        <v>20.956886312647825</v>
      </c>
      <c r="BT5" s="185">
        <f t="shared" si="39"/>
        <v>20.281322753257513</v>
      </c>
      <c r="BU5" s="185">
        <f t="shared" si="39"/>
        <v>20.48000801683536</v>
      </c>
      <c r="BV5" s="185">
        <f t="shared" si="39"/>
        <v>22.589114509071241</v>
      </c>
      <c r="BW5" s="185">
        <f t="shared" si="39"/>
        <v>18.278715851816997</v>
      </c>
      <c r="BX5" s="185">
        <f t="shared" si="39"/>
        <v>20.835000800384186</v>
      </c>
      <c r="BY5" s="182">
        <f>(BY4/AZ4-1)*100</f>
        <v>21.318925533778831</v>
      </c>
      <c r="BZ5" s="184">
        <f t="shared" ref="BZ5:CK5" si="40">(BZ4/BM4-1)*100</f>
        <v>20.27643265075676</v>
      </c>
      <c r="CA5" s="184">
        <f t="shared" si="40"/>
        <v>18.864510722584082</v>
      </c>
      <c r="CB5" s="184">
        <f t="shared" si="40"/>
        <v>24.865252320266617</v>
      </c>
      <c r="CC5" s="184">
        <f t="shared" si="40"/>
        <v>21.2528531574943</v>
      </c>
      <c r="CD5" s="184">
        <f t="shared" si="40"/>
        <v>14.988526665611657</v>
      </c>
      <c r="CE5" s="186">
        <f t="shared" si="40"/>
        <v>11.558918271031548</v>
      </c>
      <c r="CF5" s="186">
        <f t="shared" si="40"/>
        <v>11.649923206687319</v>
      </c>
      <c r="CG5" s="186">
        <f t="shared" si="40"/>
        <v>20.492501013376561</v>
      </c>
      <c r="CH5" s="186">
        <f t="shared" si="40"/>
        <v>13.190048824307343</v>
      </c>
      <c r="CI5" s="186">
        <f t="shared" si="40"/>
        <v>8.8194951350397446</v>
      </c>
      <c r="CJ5" s="186">
        <f t="shared" si="40"/>
        <v>16.351773708165119</v>
      </c>
      <c r="CK5" s="340">
        <f t="shared" si="40"/>
        <v>11.930251620755605</v>
      </c>
      <c r="CL5" s="346">
        <f t="shared" ref="CL5:EL5" si="41">(CL4/BY4-1)*100</f>
        <v>15.860301952755517</v>
      </c>
      <c r="CM5" s="269">
        <f t="shared" si="41"/>
        <v>11.012213726676112</v>
      </c>
      <c r="CN5" s="270">
        <f t="shared" si="41"/>
        <v>8.6931790870199208</v>
      </c>
      <c r="CO5" s="270">
        <f t="shared" si="41"/>
        <v>5.3796949319337317</v>
      </c>
      <c r="CP5" s="357">
        <f t="shared" si="41"/>
        <v>9.6407848970074372</v>
      </c>
      <c r="CQ5" s="357">
        <f t="shared" si="41"/>
        <v>9.1253935213060586</v>
      </c>
      <c r="CR5" s="357">
        <f t="shared" si="41"/>
        <v>9.1227206255409357</v>
      </c>
      <c r="CS5" s="357">
        <f t="shared" si="41"/>
        <v>7.894341211137168</v>
      </c>
      <c r="CT5" s="357">
        <f t="shared" si="41"/>
        <v>10.345494609005733</v>
      </c>
      <c r="CU5" s="357">
        <f t="shared" si="41"/>
        <v>10.766065326817809</v>
      </c>
      <c r="CV5" s="357">
        <f t="shared" si="41"/>
        <v>10.861552977252288</v>
      </c>
      <c r="CW5" s="357">
        <f t="shared" si="41"/>
        <v>5.2726456568362723</v>
      </c>
      <c r="CX5" s="349">
        <f t="shared" si="41"/>
        <v>7.506694480197651</v>
      </c>
      <c r="CY5" s="346">
        <f t="shared" si="41"/>
        <v>8.7374702903792567</v>
      </c>
      <c r="CZ5" s="357">
        <f t="shared" si="41"/>
        <v>8.6203812125943191</v>
      </c>
      <c r="DA5" s="357">
        <f t="shared" si="41"/>
        <v>9.1071915561681482</v>
      </c>
      <c r="DB5" s="357">
        <f t="shared" si="41"/>
        <v>10.457729041386621</v>
      </c>
      <c r="DC5" s="357">
        <f t="shared" si="41"/>
        <v>5.6941186445468084</v>
      </c>
      <c r="DD5" s="357">
        <f t="shared" si="41"/>
        <v>5.3047679853704954</v>
      </c>
      <c r="DE5" s="357">
        <f t="shared" si="41"/>
        <v>3.5554340022563302</v>
      </c>
      <c r="DF5" s="357">
        <f t="shared" si="41"/>
        <v>3.0947371354522302</v>
      </c>
      <c r="DG5" s="357">
        <f t="shared" si="41"/>
        <v>-3.0487107764320953E-3</v>
      </c>
      <c r="DH5" s="357">
        <f t="shared" si="41"/>
        <v>-0.58247532109118039</v>
      </c>
      <c r="DI5" s="357">
        <f t="shared" si="41"/>
        <v>3.3950145282153343</v>
      </c>
      <c r="DJ5" s="357">
        <f t="shared" si="41"/>
        <v>4.060996162358621</v>
      </c>
      <c r="DK5" s="357">
        <f t="shared" si="41"/>
        <v>3.193333975532231</v>
      </c>
      <c r="DL5" s="346">
        <f t="shared" si="41"/>
        <v>4.5756009132788877</v>
      </c>
      <c r="DM5" s="357">
        <f t="shared" si="41"/>
        <v>1.2082918466502557</v>
      </c>
      <c r="DN5" s="357">
        <f t="shared" si="41"/>
        <v>3.8093887008626703</v>
      </c>
      <c r="DO5" s="357">
        <f t="shared" si="41"/>
        <v>3.463735813286184</v>
      </c>
      <c r="DP5" s="357">
        <f t="shared" si="41"/>
        <v>4.7369159909352865</v>
      </c>
      <c r="DQ5" s="357">
        <f t="shared" si="41"/>
        <v>12.052665853275158</v>
      </c>
      <c r="DR5" s="357">
        <f t="shared" si="41"/>
        <v>6.4223696807632624</v>
      </c>
      <c r="DS5" s="357">
        <f t="shared" si="41"/>
        <v>9.3880088663026449</v>
      </c>
      <c r="DT5" s="357">
        <f t="shared" si="41"/>
        <v>5.8308371252829616</v>
      </c>
      <c r="DU5" s="357">
        <f t="shared" si="41"/>
        <v>6.68032404009129</v>
      </c>
      <c r="DV5" s="357">
        <f t="shared" si="41"/>
        <v>8.5561050269126646</v>
      </c>
      <c r="DW5" s="357">
        <f t="shared" si="41"/>
        <v>8.8144809329612883</v>
      </c>
      <c r="DX5" s="357">
        <f t="shared" si="41"/>
        <v>5.8656442740456782</v>
      </c>
      <c r="DY5" s="346">
        <f t="shared" si="41"/>
        <v>6.4057992581102674</v>
      </c>
      <c r="DZ5" s="387">
        <f t="shared" si="41"/>
        <v>4.2495432388250709</v>
      </c>
      <c r="EA5" s="387">
        <f t="shared" si="41"/>
        <v>8.3940703334461233</v>
      </c>
      <c r="EB5" s="387">
        <f t="shared" si="41"/>
        <v>5.2061408938962384</v>
      </c>
      <c r="EC5" s="387">
        <f t="shared" si="41"/>
        <v>5.8125953394563279</v>
      </c>
      <c r="ED5" s="387">
        <f t="shared" si="41"/>
        <v>1.5638047014342016</v>
      </c>
      <c r="EE5" s="387">
        <f t="shared" si="41"/>
        <v>4.6822846223523618</v>
      </c>
      <c r="EF5" s="387">
        <f t="shared" si="41"/>
        <v>5.0942743469987839</v>
      </c>
      <c r="EG5" s="387">
        <f t="shared" si="41"/>
        <v>-0.64602553853466693</v>
      </c>
      <c r="EH5" s="387">
        <f t="shared" si="41"/>
        <v>3.9344713484165128</v>
      </c>
      <c r="EI5" s="387">
        <f t="shared" si="41"/>
        <v>-2.2155348087768312</v>
      </c>
      <c r="EJ5" s="387">
        <f t="shared" si="41"/>
        <v>-13.412512925958907</v>
      </c>
      <c r="EK5" s="387">
        <f t="shared" si="41"/>
        <v>-25.726828408031643</v>
      </c>
      <c r="EL5" s="346">
        <f t="shared" si="41"/>
        <v>-0.39168964600607703</v>
      </c>
      <c r="EM5" s="387">
        <f t="shared" ref="EM5:EX5" si="42">(EM4/DZ4-1)*100</f>
        <v>-41.693392745643408</v>
      </c>
      <c r="EN5" s="387">
        <f t="shared" si="42"/>
        <v>-55.094946778173352</v>
      </c>
      <c r="EO5" s="387">
        <f t="shared" si="42"/>
        <v>-58.323624595469248</v>
      </c>
      <c r="EP5" s="387">
        <f t="shared" si="42"/>
        <v>-57.368021039424796</v>
      </c>
      <c r="EQ5" s="387">
        <f t="shared" si="42"/>
        <v>-55.374243620099975</v>
      </c>
      <c r="ER5" s="387">
        <f t="shared" si="42"/>
        <v>-51.743328058602842</v>
      </c>
      <c r="ES5" s="387">
        <f t="shared" si="42"/>
        <v>-50.262177128278687</v>
      </c>
      <c r="ET5" s="387">
        <f t="shared" si="42"/>
        <v>-46.029778473672003</v>
      </c>
      <c r="EU5" s="387">
        <f t="shared" si="42"/>
        <v>-44.880506021341006</v>
      </c>
      <c r="EV5" s="387">
        <f t="shared" si="42"/>
        <v>-40.729881018731675</v>
      </c>
      <c r="EW5" s="387">
        <f t="shared" si="42"/>
        <v>-29.899213033273508</v>
      </c>
      <c r="EX5" s="387">
        <f t="shared" si="42"/>
        <v>-15.871952512189946</v>
      </c>
      <c r="EY5" s="346">
        <f t="shared" ref="EY5:FX5" si="43">(EY4/EL4-1)*100</f>
        <v>-46.573037440972641</v>
      </c>
      <c r="EZ5" s="387">
        <f t="shared" si="43"/>
        <v>13.841192576817773</v>
      </c>
      <c r="FA5" s="387">
        <f t="shared" si="43"/>
        <v>43.917536799604264</v>
      </c>
      <c r="FB5" s="387">
        <f t="shared" si="43"/>
        <v>65.505654463567168</v>
      </c>
      <c r="FC5" s="387">
        <f t="shared" si="43"/>
        <v>61.800868740891659</v>
      </c>
      <c r="FD5" s="387">
        <f t="shared" si="43"/>
        <v>57.723768957538056</v>
      </c>
      <c r="FE5" s="387">
        <f t="shared" si="43"/>
        <v>59.764440023089293</v>
      </c>
      <c r="FF5" s="387">
        <f t="shared" si="43"/>
        <v>54.029617898382007</v>
      </c>
      <c r="FG5" s="387">
        <f t="shared" si="43"/>
        <v>50.453306112581096</v>
      </c>
      <c r="FH5" s="387">
        <f t="shared" si="43"/>
        <v>41.765881248225732</v>
      </c>
      <c r="FI5" s="387">
        <f t="shared" si="43"/>
        <v>31.695183776932812</v>
      </c>
      <c r="FJ5" s="387">
        <f t="shared" si="43"/>
        <v>33.441919092448892</v>
      </c>
      <c r="FK5" s="387">
        <f t="shared" si="43"/>
        <v>32.547879203290051</v>
      </c>
      <c r="FL5" s="346">
        <f t="shared" si="43"/>
        <v>44.224597589549376</v>
      </c>
      <c r="FM5" s="387">
        <f t="shared" si="43"/>
        <v>28.89683481384089</v>
      </c>
      <c r="FN5" s="387">
        <f t="shared" si="43"/>
        <v>27.690299686007847</v>
      </c>
      <c r="FO5" s="387">
        <f t="shared" si="43"/>
        <v>13.890263252179547</v>
      </c>
      <c r="FP5" s="387">
        <f t="shared" si="43"/>
        <v>6.8683322256812174</v>
      </c>
      <c r="FQ5" s="387">
        <f t="shared" si="43"/>
        <v>4.7546115461528426</v>
      </c>
      <c r="FR5" s="387">
        <f t="shared" si="43"/>
        <v>6.6656416958142728</v>
      </c>
      <c r="FS5" s="387">
        <f t="shared" si="43"/>
        <v>6.4843546184184309</v>
      </c>
      <c r="FT5" s="387">
        <f t="shared" si="43"/>
        <v>10.882901702420167</v>
      </c>
      <c r="FU5" s="387">
        <f t="shared" si="43"/>
        <v>11.961779976077814</v>
      </c>
      <c r="FV5" s="387">
        <f t="shared" si="43"/>
        <v>14.616443129861967</v>
      </c>
      <c r="FW5" s="387">
        <f t="shared" si="43"/>
        <v>7.7941753820450099</v>
      </c>
      <c r="FX5" s="387">
        <f t="shared" si="43"/>
        <v>9.7725366374114664</v>
      </c>
      <c r="FY5" s="346">
        <f t="shared" ref="FY5:HY5" si="44">(FY4/FL4-1)*100</f>
        <v>12.042083786045499</v>
      </c>
      <c r="FZ5" s="387">
        <f t="shared" si="44"/>
        <v>2.0255975823860295</v>
      </c>
      <c r="GA5" s="387">
        <f t="shared" si="44"/>
        <v>3.117636146042102</v>
      </c>
      <c r="GB5" s="387">
        <f t="shared" si="44"/>
        <v>5.9770502363136524</v>
      </c>
      <c r="GC5" s="387">
        <f t="shared" si="44"/>
        <v>11.585148066428097</v>
      </c>
      <c r="GD5" s="411">
        <f t="shared" si="44"/>
        <v>12.13830963023883</v>
      </c>
      <c r="GE5" s="411">
        <f t="shared" si="44"/>
        <v>0.63889129118743782</v>
      </c>
      <c r="GF5" s="411">
        <f t="shared" si="44"/>
        <v>-1.161937730225826</v>
      </c>
      <c r="GG5" s="411">
        <f t="shared" si="44"/>
        <v>-12.856851869892127</v>
      </c>
      <c r="GH5" s="411">
        <f t="shared" si="44"/>
        <v>-13.430341903272103</v>
      </c>
      <c r="GI5" s="411">
        <f t="shared" si="44"/>
        <v>-13.20468397776513</v>
      </c>
      <c r="GJ5" s="411">
        <f t="shared" si="44"/>
        <v>-17.875761710366255</v>
      </c>
      <c r="GK5" s="411">
        <f t="shared" si="44"/>
        <v>-22.800605200735991</v>
      </c>
      <c r="GL5" s="346">
        <f t="shared" si="44"/>
        <v>-4.4858150222981781</v>
      </c>
      <c r="GM5" s="387">
        <f t="shared" si="44"/>
        <v>-11.246811602920392</v>
      </c>
      <c r="GN5" s="387">
        <f t="shared" si="44"/>
        <v>-10.446045825137496</v>
      </c>
      <c r="GO5" s="387">
        <f t="shared" si="44"/>
        <v>-8.565265543798839</v>
      </c>
      <c r="GP5" s="387">
        <f t="shared" si="44"/>
        <v>-2.0195998198999199</v>
      </c>
      <c r="GQ5" s="387">
        <f t="shared" si="44"/>
        <v>1.4780915349210444</v>
      </c>
      <c r="GR5" s="387">
        <f t="shared" si="44"/>
        <v>-2.5741446909071652</v>
      </c>
      <c r="GS5" s="387">
        <f t="shared" si="44"/>
        <v>4.6622371856233968</v>
      </c>
      <c r="GT5" s="387">
        <f t="shared" si="44"/>
        <v>7.8559847004531669</v>
      </c>
      <c r="GU5" s="387">
        <f t="shared" si="44"/>
        <v>12.811702640786171</v>
      </c>
      <c r="GV5" s="387">
        <f t="shared" si="44"/>
        <v>12.629595677868565</v>
      </c>
      <c r="GW5" s="387">
        <f t="shared" si="44"/>
        <v>20.28221473628755</v>
      </c>
      <c r="GX5" s="387">
        <f t="shared" si="44"/>
        <v>22.37814574053003</v>
      </c>
      <c r="GY5" s="346">
        <f t="shared" si="44"/>
        <v>3.3289104931301772</v>
      </c>
      <c r="GZ5" s="387">
        <f t="shared" si="44"/>
        <v>18.852821603859017</v>
      </c>
      <c r="HA5" s="387">
        <f t="shared" si="44"/>
        <v>11.973195244409007</v>
      </c>
      <c r="HB5" s="387">
        <f t="shared" si="44"/>
        <v>11.631212800494728</v>
      </c>
      <c r="HC5" s="387">
        <f t="shared" si="44"/>
        <v>6.7769590875242036</v>
      </c>
      <c r="HD5" s="387">
        <f t="shared" si="44"/>
        <v>5.247104474101949</v>
      </c>
      <c r="HE5" s="387">
        <f t="shared" si="44"/>
        <v>10.399572503507958</v>
      </c>
      <c r="HF5" s="387">
        <f t="shared" si="44"/>
        <v>6.0041944361290511</v>
      </c>
      <c r="HG5" s="387">
        <f t="shared" si="44"/>
        <v>5.0699964108797513</v>
      </c>
      <c r="HH5" s="387">
        <f t="shared" si="44"/>
        <v>13.468950749464682</v>
      </c>
      <c r="HI5" s="387">
        <f t="shared" si="44"/>
        <v>5.8990425710244487</v>
      </c>
      <c r="HJ5" s="387">
        <f t="shared" si="44"/>
        <v>-0.92495243903707447</v>
      </c>
      <c r="HK5" s="387">
        <f t="shared" si="44"/>
        <v>3.3073068287310603</v>
      </c>
      <c r="HL5" s="346">
        <f t="shared" si="44"/>
        <v>7.9294141742242807</v>
      </c>
      <c r="HM5" s="387">
        <f t="shared" si="44"/>
        <v>0.83368715656351178</v>
      </c>
      <c r="HN5" s="269">
        <f t="shared" si="44"/>
        <v>0.4274121283242005</v>
      </c>
      <c r="HO5" s="411">
        <f t="shared" si="44"/>
        <v>2.3825372647908294</v>
      </c>
      <c r="HP5" s="269">
        <f t="shared" si="44"/>
        <v>-0.27267837695186259</v>
      </c>
      <c r="HQ5" s="411">
        <f t="shared" si="44"/>
        <v>-6.8689603401356987</v>
      </c>
      <c r="HR5" s="411">
        <f t="shared" si="44"/>
        <v>-0.23930643548790709</v>
      </c>
      <c r="HS5" s="411">
        <f t="shared" si="44"/>
        <v>-4.2228151436104699</v>
      </c>
      <c r="HT5" s="411">
        <f t="shared" si="44"/>
        <v>-3.7290828406488008</v>
      </c>
      <c r="HU5" s="411">
        <f t="shared" si="44"/>
        <v>-11.192990806139601</v>
      </c>
      <c r="HV5" s="411">
        <f t="shared" si="44"/>
        <v>-8.2181668263671561</v>
      </c>
      <c r="HW5" s="411">
        <f t="shared" si="44"/>
        <v>-3.0603074676559205</v>
      </c>
      <c r="HX5" s="411">
        <f t="shared" si="44"/>
        <v>-9.0614241652201883</v>
      </c>
      <c r="HY5" s="457">
        <f t="shared" si="44"/>
        <v>-3.7047295788737111</v>
      </c>
      <c r="HZ5" s="411">
        <f t="shared" ref="HZ5:IO7" si="45">(HZ4/HM4-1)*100</f>
        <v>-6.9956210107332328</v>
      </c>
      <c r="IA5" s="411">
        <f t="shared" si="45"/>
        <v>-1.8889442229434117</v>
      </c>
      <c r="IB5" s="411">
        <f t="shared" si="45"/>
        <v>-3.1285776518643837</v>
      </c>
      <c r="IC5" s="411">
        <f t="shared" si="45"/>
        <v>-3.2107923492426083</v>
      </c>
      <c r="ID5" s="411">
        <f t="shared" si="45"/>
        <v>-3.6599192999742458</v>
      </c>
      <c r="IE5" s="411">
        <f t="shared" si="45"/>
        <v>-4.449452207824911</v>
      </c>
      <c r="IF5" s="411">
        <f t="shared" si="45"/>
        <v>-4.6678117494021176</v>
      </c>
      <c r="IG5" s="411">
        <f t="shared" si="45"/>
        <v>3.2871356644816663</v>
      </c>
      <c r="IH5" s="411">
        <f t="shared" si="45"/>
        <v>0.45925038208487479</v>
      </c>
      <c r="II5" s="411">
        <f t="shared" si="45"/>
        <v>0.18672443315690401</v>
      </c>
      <c r="IJ5" s="411">
        <f t="shared" si="45"/>
        <v>5.7861115009754327</v>
      </c>
      <c r="IK5" s="411">
        <f t="shared" si="45"/>
        <v>9.2648233873011918</v>
      </c>
      <c r="IL5" s="464">
        <f t="shared" si="45"/>
        <v>-0.87153665407158076</v>
      </c>
      <c r="IM5" s="411">
        <f t="shared" si="45"/>
        <v>5.334649838625305</v>
      </c>
      <c r="IN5" s="501">
        <f t="shared" si="45"/>
        <v>2.898533280974136</v>
      </c>
      <c r="IO5" s="501">
        <f t="shared" si="45"/>
        <v>8.2375024683184463</v>
      </c>
      <c r="IP5" s="501">
        <f t="shared" ref="IP5:IX5" si="46">(IP4/IC4-1)*100</f>
        <v>5.2296473823800538</v>
      </c>
      <c r="IQ5" s="501">
        <f t="shared" si="46"/>
        <v>6.5485634495415335</v>
      </c>
      <c r="IR5" s="501">
        <f t="shared" si="46"/>
        <v>6.5901044988835089</v>
      </c>
      <c r="IS5" s="501">
        <f t="shared" si="46"/>
        <v>9.5696075713016739</v>
      </c>
      <c r="IT5" s="501">
        <f t="shared" si="46"/>
        <v>6.4680479787267542</v>
      </c>
      <c r="IU5" s="501">
        <f t="shared" si="46"/>
        <v>0.34035616880281339</v>
      </c>
      <c r="IV5" s="501">
        <f t="shared" si="46"/>
        <v>6.6404154050176745</v>
      </c>
      <c r="IW5" s="501">
        <f t="shared" si="46"/>
        <v>8.639026599962051</v>
      </c>
      <c r="IX5" s="501">
        <f t="shared" si="46"/>
        <v>5.8812940261265378</v>
      </c>
      <c r="IY5" s="464">
        <f>(IY4/IL4-1)*100</f>
        <v>6.0303031936237206</v>
      </c>
      <c r="IZ5" s="501">
        <f>(IZ4/IM4-1)*100</f>
        <v>1.0609003611741663</v>
      </c>
      <c r="JA5" s="501">
        <f t="shared" ref="JA5:JG5" si="47">(JA4/IN4-1)*100</f>
        <v>3.7772118167118895</v>
      </c>
      <c r="JB5" s="501">
        <f t="shared" si="47"/>
        <v>3.4818842683076223</v>
      </c>
      <c r="JC5" s="501">
        <f t="shared" si="47"/>
        <v>7.1946119767586358</v>
      </c>
      <c r="JD5" s="501">
        <f t="shared" si="47"/>
        <v>11.592430132994668</v>
      </c>
      <c r="JE5" s="501">
        <f t="shared" si="47"/>
        <v>6.1112021231283453</v>
      </c>
      <c r="JF5" s="501">
        <f t="shared" si="47"/>
        <v>5.6415275278168142</v>
      </c>
      <c r="JG5" s="501">
        <f t="shared" si="47"/>
        <v>6.537960987855862</v>
      </c>
      <c r="JH5" s="501">
        <f>(JH4/IU4-1)*100</f>
        <v>5.5996671405291076</v>
      </c>
      <c r="JI5" s="501">
        <f t="shared" ref="JI5:JK5" si="48">(JI4/IV4-1)*100</f>
        <v>10.477270453256837</v>
      </c>
      <c r="JJ5" s="501">
        <f t="shared" si="48"/>
        <v>-2.0959174190955832</v>
      </c>
      <c r="JK5" s="501">
        <f t="shared" si="48"/>
        <v>4.4926157562018787</v>
      </c>
      <c r="JL5" s="510">
        <f>(JL4/IY4-1)*100</f>
        <v>5.2400223156069403</v>
      </c>
      <c r="JM5" s="501">
        <f>(JM4/IZ4-1)*100</f>
        <v>2.5340980139402447</v>
      </c>
      <c r="JN5" s="564">
        <f t="shared" ref="JN5" si="49">(JN4/JA4-1)*100</f>
        <v>3.9593698175787617</v>
      </c>
    </row>
    <row r="6" spans="1:274" ht="13.5" customHeight="1" x14ac:dyDescent="0.3">
      <c r="A6" s="547"/>
      <c r="B6" s="45" t="s">
        <v>103</v>
      </c>
      <c r="C6" s="187">
        <v>83228</v>
      </c>
      <c r="D6" s="188">
        <v>90194</v>
      </c>
      <c r="E6" s="189">
        <v>90032</v>
      </c>
      <c r="F6" s="188">
        <v>79383</v>
      </c>
      <c r="G6" s="189">
        <v>74378</v>
      </c>
      <c r="H6" s="188">
        <v>73416</v>
      </c>
      <c r="I6" s="189">
        <v>77327</v>
      </c>
      <c r="J6" s="188">
        <v>77565</v>
      </c>
      <c r="K6" s="189">
        <v>80866</v>
      </c>
      <c r="L6" s="188">
        <v>68712</v>
      </c>
      <c r="M6" s="190">
        <v>66891</v>
      </c>
      <c r="N6" s="191">
        <f>SUM(AA6:AL6)</f>
        <v>73016</v>
      </c>
      <c r="O6" s="189">
        <v>4928</v>
      </c>
      <c r="P6" s="188">
        <v>5612</v>
      </c>
      <c r="Q6" s="188">
        <v>5964</v>
      </c>
      <c r="R6" s="188">
        <v>5506</v>
      </c>
      <c r="S6" s="188">
        <v>5025</v>
      </c>
      <c r="T6" s="188">
        <v>5685</v>
      </c>
      <c r="U6" s="188">
        <v>5740</v>
      </c>
      <c r="V6" s="188">
        <v>4889</v>
      </c>
      <c r="W6" s="188">
        <v>5784</v>
      </c>
      <c r="X6" s="188">
        <v>5850</v>
      </c>
      <c r="Y6" s="188">
        <v>6042</v>
      </c>
      <c r="Z6" s="188">
        <v>5856</v>
      </c>
      <c r="AA6" s="189">
        <v>5361</v>
      </c>
      <c r="AB6" s="188">
        <v>6092</v>
      </c>
      <c r="AC6" s="189">
        <v>6455</v>
      </c>
      <c r="AD6" s="188">
        <v>6080</v>
      </c>
      <c r="AE6" s="189">
        <v>5647</v>
      </c>
      <c r="AF6" s="188">
        <v>6461</v>
      </c>
      <c r="AG6" s="189">
        <v>6221</v>
      </c>
      <c r="AH6" s="188">
        <v>5433</v>
      </c>
      <c r="AI6" s="189">
        <v>6237</v>
      </c>
      <c r="AJ6" s="188">
        <v>6455</v>
      </c>
      <c r="AK6" s="189">
        <v>6362</v>
      </c>
      <c r="AL6" s="188">
        <v>6212</v>
      </c>
      <c r="AM6" s="189">
        <f>SUM(AN6:AY6)</f>
        <v>69133</v>
      </c>
      <c r="AN6" s="192">
        <f>AN10+AN14+AN18+AN22+AN26+AN30</f>
        <v>5481</v>
      </c>
      <c r="AO6" s="191">
        <f t="shared" si="0"/>
        <v>6225</v>
      </c>
      <c r="AP6" s="193">
        <f t="shared" si="0"/>
        <v>6419</v>
      </c>
      <c r="AQ6" s="194">
        <f>AQ10+AQ14+AQ18+AQ22+AQ26+AQ30</f>
        <v>6074</v>
      </c>
      <c r="AR6" s="194">
        <f t="shared" ref="AR6:AY6" si="50">AR10+AR14+AR18+AR22+AR26+AR30</f>
        <v>5362</v>
      </c>
      <c r="AS6" s="194">
        <f t="shared" si="50"/>
        <v>5918</v>
      </c>
      <c r="AT6" s="194">
        <f t="shared" si="50"/>
        <v>5841</v>
      </c>
      <c r="AU6" s="194">
        <v>5158</v>
      </c>
      <c r="AV6" s="194">
        <f t="shared" si="50"/>
        <v>5712</v>
      </c>
      <c r="AW6" s="194">
        <f t="shared" si="50"/>
        <v>5888</v>
      </c>
      <c r="AX6" s="194">
        <f t="shared" si="50"/>
        <v>5691</v>
      </c>
      <c r="AY6" s="195">
        <f t="shared" si="50"/>
        <v>5364</v>
      </c>
      <c r="AZ6" s="196">
        <f>SUM(BA6:BL6)</f>
        <v>70288</v>
      </c>
      <c r="BA6" s="197">
        <f t="shared" ref="BA6:BF6" si="51">+BA10+BA14+BA18+BA22+BA26+BA30</f>
        <v>4926</v>
      </c>
      <c r="BB6" s="198">
        <f t="shared" si="51"/>
        <v>5663</v>
      </c>
      <c r="BC6" s="198">
        <f t="shared" si="51"/>
        <v>5768</v>
      </c>
      <c r="BD6" s="198">
        <f t="shared" si="51"/>
        <v>5689</v>
      </c>
      <c r="BE6" s="198">
        <f t="shared" si="51"/>
        <v>5473</v>
      </c>
      <c r="BF6" s="198">
        <f t="shared" si="51"/>
        <v>5932</v>
      </c>
      <c r="BG6" s="198">
        <f t="shared" ref="BG6:BL6" si="52">+BG10+BG14+BG18+BG22+BG26+BG30</f>
        <v>6299</v>
      </c>
      <c r="BH6" s="198">
        <f t="shared" si="52"/>
        <v>5231</v>
      </c>
      <c r="BI6" s="198">
        <f t="shared" si="52"/>
        <v>6273</v>
      </c>
      <c r="BJ6" s="198">
        <f t="shared" si="52"/>
        <v>6439</v>
      </c>
      <c r="BK6" s="198">
        <f t="shared" si="52"/>
        <v>6369</v>
      </c>
      <c r="BL6" s="198">
        <f t="shared" si="52"/>
        <v>6226</v>
      </c>
      <c r="BM6" s="199">
        <f t="shared" ref="BM6:BR6" si="53">+BM10+BM14+BM18+BM22+BM26+BM30</f>
        <v>5797</v>
      </c>
      <c r="BN6" s="199">
        <f t="shared" si="53"/>
        <v>6409</v>
      </c>
      <c r="BO6" s="199">
        <f t="shared" si="53"/>
        <v>6544</v>
      </c>
      <c r="BP6" s="199">
        <f t="shared" si="53"/>
        <v>6366</v>
      </c>
      <c r="BQ6" s="199">
        <f t="shared" si="53"/>
        <v>6048</v>
      </c>
      <c r="BR6" s="199">
        <f t="shared" si="53"/>
        <v>6935</v>
      </c>
      <c r="BS6" s="199">
        <f t="shared" ref="BS6:BX6" si="54">+BS10+BS14+BS18+BS22+BS26+BS30</f>
        <v>6967</v>
      </c>
      <c r="BT6" s="199">
        <f t="shared" si="54"/>
        <v>5813</v>
      </c>
      <c r="BU6" s="199">
        <f t="shared" si="54"/>
        <v>7136</v>
      </c>
      <c r="BV6" s="199">
        <f t="shared" si="54"/>
        <v>7341</v>
      </c>
      <c r="BW6" s="199">
        <f t="shared" si="54"/>
        <v>7017</v>
      </c>
      <c r="BX6" s="199">
        <f t="shared" si="54"/>
        <v>7119</v>
      </c>
      <c r="BY6" s="168">
        <f>SUM(BM6:BX6)</f>
        <v>79492</v>
      </c>
      <c r="BZ6" s="198">
        <f>+BZ10+BZ14+BZ18+BZ22+BZ26+BZ30</f>
        <v>6598</v>
      </c>
      <c r="CA6" s="198">
        <f>+CA10+CA14+CA18+CA22+CA26+CA30</f>
        <v>7386</v>
      </c>
      <c r="CB6" s="198">
        <f>+CB10+CB14+CB18+CB22+CB26+CB30</f>
        <v>7916</v>
      </c>
      <c r="CC6" s="198">
        <f>+CC10+CC14+CC18+CC22+CC26+CC30</f>
        <v>7576</v>
      </c>
      <c r="CD6" s="198">
        <f>+CD10+CD14+CD18+CD22+CD26+CD30</f>
        <v>6808</v>
      </c>
      <c r="CE6" s="200">
        <f t="shared" ref="CE6:CJ6" si="55">SUM(CE10,CE14,CE18,CE22,CE26,CE30)</f>
        <v>7844</v>
      </c>
      <c r="CF6" s="200">
        <f t="shared" si="55"/>
        <v>7784</v>
      </c>
      <c r="CG6" s="200">
        <f t="shared" si="55"/>
        <v>6795</v>
      </c>
      <c r="CH6" s="200">
        <f t="shared" si="55"/>
        <v>7960</v>
      </c>
      <c r="CI6" s="200">
        <f t="shared" si="55"/>
        <v>7871</v>
      </c>
      <c r="CJ6" s="200">
        <f t="shared" si="55"/>
        <v>8118.6330000000007</v>
      </c>
      <c r="CK6" s="341">
        <f t="shared" ref="CK6:CQ6" si="56">SUM(CK10,CK14,CK18,CK22,CK26,CK30)</f>
        <v>7862</v>
      </c>
      <c r="CL6" s="345">
        <f>SUM(BZ6:CK6)</f>
        <v>90518.633000000002</v>
      </c>
      <c r="CM6" s="271">
        <f t="shared" si="56"/>
        <v>7076</v>
      </c>
      <c r="CN6" s="272">
        <f t="shared" si="56"/>
        <v>7932</v>
      </c>
      <c r="CO6" s="272">
        <f t="shared" si="56"/>
        <v>8580</v>
      </c>
      <c r="CP6" s="358">
        <f t="shared" si="56"/>
        <v>8248</v>
      </c>
      <c r="CQ6" s="358">
        <f t="shared" si="56"/>
        <v>7373</v>
      </c>
      <c r="CR6" s="358">
        <f t="shared" ref="CR6:CW6" si="57">SUM(CR10,CR14,CR18,CR22,CR26,CR30)</f>
        <v>8469</v>
      </c>
      <c r="CS6" s="358">
        <f t="shared" si="57"/>
        <v>8246</v>
      </c>
      <c r="CT6" s="358">
        <f t="shared" si="57"/>
        <v>7307</v>
      </c>
      <c r="CU6" s="358">
        <f t="shared" si="57"/>
        <v>8593</v>
      </c>
      <c r="CV6" s="358">
        <f t="shared" si="57"/>
        <v>8538</v>
      </c>
      <c r="CW6" s="358">
        <f t="shared" si="57"/>
        <v>8637</v>
      </c>
      <c r="CX6" s="350">
        <f>SUM(CX10,CX14,CX18,CX22,CX26,CX30)</f>
        <v>8383</v>
      </c>
      <c r="CY6" s="345">
        <f>SUM(CM6:CX6)</f>
        <v>97382</v>
      </c>
      <c r="CZ6" s="358">
        <f t="shared" ref="CZ6:DH6" si="58">SUM(CZ10,CZ14,CZ18,CZ22,CZ26,CZ30)</f>
        <v>7591</v>
      </c>
      <c r="DA6" s="358">
        <f t="shared" si="58"/>
        <v>8553</v>
      </c>
      <c r="DB6" s="358">
        <f t="shared" si="58"/>
        <v>9150</v>
      </c>
      <c r="DC6" s="358">
        <f t="shared" si="58"/>
        <v>8777</v>
      </c>
      <c r="DD6" s="358">
        <f t="shared" si="58"/>
        <v>7714</v>
      </c>
      <c r="DE6" s="358">
        <v>8944</v>
      </c>
      <c r="DF6" s="358">
        <f t="shared" si="58"/>
        <v>8723</v>
      </c>
      <c r="DG6" s="358">
        <v>7727</v>
      </c>
      <c r="DH6" s="358">
        <f t="shared" si="58"/>
        <v>8914</v>
      </c>
      <c r="DI6" s="358">
        <f>SUM(DI10,DI14,DI18,DI22,DI26,DI30)</f>
        <v>9191</v>
      </c>
      <c r="DJ6" s="358">
        <f>SUM(DJ10,DJ14,DJ18,DJ22,DJ26,DJ30)</f>
        <v>9144</v>
      </c>
      <c r="DK6" s="358">
        <f>SUM(DK10,DK14,DK18,DK22,DK26,DK30)</f>
        <v>8811</v>
      </c>
      <c r="DL6" s="345">
        <f>SUM(CZ6:DK6)</f>
        <v>103239</v>
      </c>
      <c r="DM6" s="358">
        <v>7919</v>
      </c>
      <c r="DN6" s="358">
        <f>SUM(DN10,DN14,DN18,DN22,DN26,DN30)</f>
        <v>8977</v>
      </c>
      <c r="DO6" s="358">
        <f>SUM(DO10,DO14,DO18,DO22,DO26,DO30)</f>
        <v>9449</v>
      </c>
      <c r="DP6" s="358">
        <f t="shared" ref="DP6:DU6" si="59">SUM(DP10,DP14,DP18,DP22,DP26,DP30)-1</f>
        <v>9131</v>
      </c>
      <c r="DQ6" s="358">
        <f t="shared" si="59"/>
        <v>8418</v>
      </c>
      <c r="DR6" s="358">
        <f t="shared" si="59"/>
        <v>9387</v>
      </c>
      <c r="DS6" s="358">
        <f t="shared" si="59"/>
        <v>9379</v>
      </c>
      <c r="DT6" s="358">
        <f t="shared" si="59"/>
        <v>8013</v>
      </c>
      <c r="DU6" s="358">
        <f t="shared" si="59"/>
        <v>9270</v>
      </c>
      <c r="DV6" s="358">
        <f>SUM(DV10,DV14,DV18,DV22,DV26,DV30)-1</f>
        <v>9911</v>
      </c>
      <c r="DW6" s="358">
        <f>SUM(DW10,DW14,DW18,DW22,DW26,DW30)-1</f>
        <v>9831</v>
      </c>
      <c r="DX6" s="272">
        <f>SUM(DX10,DX14,DX18,DX22,DX26,DX30)-1</f>
        <v>9259</v>
      </c>
      <c r="DY6" s="347">
        <f>SUM(DM6:DX6)</f>
        <v>108944</v>
      </c>
      <c r="DZ6" s="388">
        <f t="shared" ref="DZ6:EE6" si="60">SUM(DZ10,DZ14,DZ18,DZ22,DZ26,DZ30)-1</f>
        <v>8278</v>
      </c>
      <c r="EA6" s="388">
        <f t="shared" si="60"/>
        <v>9819</v>
      </c>
      <c r="EB6" s="388">
        <f t="shared" si="60"/>
        <v>9929</v>
      </c>
      <c r="EC6" s="388">
        <f t="shared" si="60"/>
        <v>9602</v>
      </c>
      <c r="ED6" s="388">
        <f t="shared" si="60"/>
        <v>8898</v>
      </c>
      <c r="EE6" s="388">
        <f t="shared" si="60"/>
        <v>9922</v>
      </c>
      <c r="EF6" s="388">
        <f t="shared" ref="EF6:EK6" si="61">SUM(EF10,EF14,EF18,EF22,EF26,EF30)-1</f>
        <v>10003</v>
      </c>
      <c r="EG6" s="388">
        <f t="shared" si="61"/>
        <v>7932</v>
      </c>
      <c r="EH6" s="388">
        <f t="shared" si="61"/>
        <v>9746</v>
      </c>
      <c r="EI6" s="388">
        <f t="shared" si="61"/>
        <v>9524</v>
      </c>
      <c r="EJ6" s="388">
        <f t="shared" si="61"/>
        <v>8316</v>
      </c>
      <c r="EK6" s="388">
        <f t="shared" si="61"/>
        <v>6866</v>
      </c>
      <c r="EL6" s="347">
        <f>SUM(DZ6:EK6)</f>
        <v>108835</v>
      </c>
      <c r="EM6" s="388">
        <f>SUM(EM10,EM14,EM18,EM22,EM26,EM30)-1</f>
        <v>4920</v>
      </c>
      <c r="EN6" s="388">
        <f>SUM(EN10,EN14,EN18,EN22,EN26,EN30)-1</f>
        <v>4551</v>
      </c>
      <c r="EO6" s="388">
        <f>SUM(EO10,EO14,EO18,EO22,EO26,EO30)-1</f>
        <v>4437</v>
      </c>
      <c r="EP6" s="388">
        <f t="shared" ref="EP6:EU6" si="62">SUM(EP10,EP14,EP18,EP22,EP26,EP30)</f>
        <v>4570.5969999999998</v>
      </c>
      <c r="EQ6" s="388">
        <f t="shared" si="62"/>
        <v>4299.8829999999998</v>
      </c>
      <c r="ER6" s="388">
        <f t="shared" si="62"/>
        <v>5377.5110000000004</v>
      </c>
      <c r="ES6" s="388">
        <f t="shared" si="62"/>
        <v>5652.0830000000005</v>
      </c>
      <c r="ET6" s="388">
        <f t="shared" si="62"/>
        <v>4829.768</v>
      </c>
      <c r="EU6" s="388">
        <f t="shared" si="62"/>
        <v>6077.7650000000003</v>
      </c>
      <c r="EV6" s="388">
        <f>SUM(EV10,EV14,EV18,EV22,EV26,EV30)</f>
        <v>6377.5030000000006</v>
      </c>
      <c r="EW6" s="388">
        <f>SUM(EW10,EW14,EW18,EW22,EW26,EW30)</f>
        <v>6563.5470000000005</v>
      </c>
      <c r="EX6" s="388">
        <f>SUM(EX10,EX14,EX18,EX22,EX26,EX30)</f>
        <v>6402.4449999999997</v>
      </c>
      <c r="EY6" s="347">
        <f>SUM(EM6:EX6)</f>
        <v>64059.101999999999</v>
      </c>
      <c r="EZ6" s="388">
        <f t="shared" ref="EZ6:FE6" si="63">SUM(EZ10,EZ14,EZ18,EZ22,EZ26,EZ30)</f>
        <v>6060.7729999999992</v>
      </c>
      <c r="FA6" s="388">
        <f t="shared" si="63"/>
        <v>7008.0609999999997</v>
      </c>
      <c r="FB6" s="388">
        <f t="shared" si="63"/>
        <v>7525.9409999999998</v>
      </c>
      <c r="FC6" s="388">
        <f t="shared" si="63"/>
        <v>7172.7430000000004</v>
      </c>
      <c r="FD6" s="388">
        <f t="shared" si="63"/>
        <v>6549.9529999999995</v>
      </c>
      <c r="FE6" s="388">
        <f t="shared" si="63"/>
        <v>7875.9570000000003</v>
      </c>
      <c r="FF6" s="388">
        <f t="shared" ref="FF6:FK6" si="64">SUM(FF10,FF14,FF18,FF22,FF26,FF30)</f>
        <v>7860.9400000000005</v>
      </c>
      <c r="FG6" s="388">
        <f t="shared" si="64"/>
        <v>6691.3009999999995</v>
      </c>
      <c r="FH6" s="388">
        <f t="shared" si="64"/>
        <v>7935.5650000000005</v>
      </c>
      <c r="FI6" s="388">
        <f t="shared" si="64"/>
        <v>7737.6390000000001</v>
      </c>
      <c r="FJ6" s="388">
        <f t="shared" si="64"/>
        <v>8075.4569999999994</v>
      </c>
      <c r="FK6" s="388">
        <f t="shared" si="64"/>
        <v>7839.0549999999994</v>
      </c>
      <c r="FL6" s="347">
        <f>SUM(EZ6:FK6)</f>
        <v>88333.384999999995</v>
      </c>
      <c r="FM6" s="388">
        <f t="shared" ref="FM6:FR6" si="65">SUM(FM10,FM14,FM18,FM22,FM26,FM30)</f>
        <v>7144.5349999999999</v>
      </c>
      <c r="FN6" s="388">
        <f t="shared" si="65"/>
        <v>8131.6010000000006</v>
      </c>
      <c r="FO6" s="388">
        <f t="shared" si="65"/>
        <v>7972.6750000000002</v>
      </c>
      <c r="FP6" s="388">
        <f t="shared" si="65"/>
        <v>7385.4860000000008</v>
      </c>
      <c r="FQ6" s="388">
        <f t="shared" si="65"/>
        <v>6462.0200000000013</v>
      </c>
      <c r="FR6" s="388">
        <f t="shared" si="65"/>
        <v>8141.4279999999999</v>
      </c>
      <c r="FS6" s="388">
        <f t="shared" ref="FS6:FX6" si="66">SUM(FS10,FS14,FS18,FS22,FS26,FS30)</f>
        <v>8211.4230000000007</v>
      </c>
      <c r="FT6" s="388">
        <f t="shared" si="66"/>
        <v>7460.1640000000007</v>
      </c>
      <c r="FU6" s="388">
        <f t="shared" si="66"/>
        <v>8722.1220000000012</v>
      </c>
      <c r="FV6" s="388">
        <f t="shared" si="66"/>
        <v>8791.8770000000004</v>
      </c>
      <c r="FW6" s="388">
        <f t="shared" si="66"/>
        <v>8725.2900000000009</v>
      </c>
      <c r="FX6" s="388">
        <f t="shared" si="66"/>
        <v>8405.5429999999997</v>
      </c>
      <c r="FY6" s="347">
        <f>SUM(FM6:FX6)</f>
        <v>95554.164000000019</v>
      </c>
      <c r="FZ6" s="388">
        <f t="shared" ref="FZ6:GE6" si="67">SUM(FZ10,FZ14,FZ18,FZ22,FZ26,FZ30)</f>
        <v>7373.665</v>
      </c>
      <c r="GA6" s="388">
        <f t="shared" si="67"/>
        <v>8790.4709999999995</v>
      </c>
      <c r="GB6" s="388">
        <f t="shared" si="67"/>
        <v>8651.7880000000005</v>
      </c>
      <c r="GC6" s="388">
        <f t="shared" si="67"/>
        <v>8290.4330000000009</v>
      </c>
      <c r="GD6" s="412">
        <f t="shared" si="67"/>
        <v>7573.7079999999996</v>
      </c>
      <c r="GE6" s="412">
        <f t="shared" si="67"/>
        <v>8506.42</v>
      </c>
      <c r="GF6" s="412">
        <f t="shared" ref="GF6:GK6" si="68">SUM(GF10,GF14,GF18,GF22,GF26,GF30)</f>
        <v>8434.3029999999999</v>
      </c>
      <c r="GG6" s="412">
        <f t="shared" si="68"/>
        <v>6807.286000000001</v>
      </c>
      <c r="GH6" s="412">
        <f t="shared" si="68"/>
        <v>7902.5570000000007</v>
      </c>
      <c r="GI6" s="412">
        <f t="shared" si="68"/>
        <v>8009.8070000000007</v>
      </c>
      <c r="GJ6" s="412">
        <f t="shared" si="68"/>
        <v>7442.8510000000006</v>
      </c>
      <c r="GK6" s="412">
        <f t="shared" si="68"/>
        <v>6908.799</v>
      </c>
      <c r="GL6" s="347">
        <f>SUM(FZ6:GK6)</f>
        <v>94692.087999999989</v>
      </c>
      <c r="GM6" s="388">
        <f t="shared" ref="GM6:GR6" si="69">SUM(GM10,GM14,GM18,GM22,GM26,GM30)</f>
        <v>6847.3429999999998</v>
      </c>
      <c r="GN6" s="388">
        <f t="shared" si="69"/>
        <v>7964.4979999999987</v>
      </c>
      <c r="GO6" s="388">
        <f t="shared" si="69"/>
        <v>8125.5320000000002</v>
      </c>
      <c r="GP6" s="388">
        <f t="shared" si="69"/>
        <v>8323.1489999999994</v>
      </c>
      <c r="GQ6" s="388">
        <f t="shared" si="69"/>
        <v>7929.71</v>
      </c>
      <c r="GR6" s="388">
        <f t="shared" si="69"/>
        <v>8432.2270000000008</v>
      </c>
      <c r="GS6" s="388">
        <f t="shared" ref="GS6:GX6" si="70">SUM(GS10,GS14,GS18,GS22,GS26,GS30)</f>
        <v>8971.130000000001</v>
      </c>
      <c r="GT6" s="388">
        <f t="shared" si="70"/>
        <v>7270.3109999999997</v>
      </c>
      <c r="GU6" s="388">
        <f t="shared" si="70"/>
        <v>8840.5289999999986</v>
      </c>
      <c r="GV6" s="388">
        <f t="shared" si="70"/>
        <v>9007.0930000000008</v>
      </c>
      <c r="GW6" s="388">
        <f t="shared" si="70"/>
        <v>8784.2010000000009</v>
      </c>
      <c r="GX6" s="388">
        <f t="shared" si="70"/>
        <v>8509.9570000000003</v>
      </c>
      <c r="GY6" s="347">
        <f>SUM(GM6:GX6)</f>
        <v>99005.68</v>
      </c>
      <c r="GZ6" s="388">
        <f t="shared" ref="GZ6:HE6" si="71">SUM(GZ10,GZ14,GZ18,GZ22,GZ26,GZ30)</f>
        <v>7991.6679999999988</v>
      </c>
      <c r="HA6" s="388">
        <f t="shared" si="71"/>
        <v>8762.1890000000021</v>
      </c>
      <c r="HB6" s="388">
        <f t="shared" si="71"/>
        <v>8958.0049999999992</v>
      </c>
      <c r="HC6" s="388">
        <f t="shared" si="71"/>
        <v>8885.4860000000008</v>
      </c>
      <c r="HD6" s="388">
        <f t="shared" si="71"/>
        <v>8393.8550000000014</v>
      </c>
      <c r="HE6" s="388">
        <f t="shared" si="71"/>
        <v>9413.3680000000004</v>
      </c>
      <c r="HF6" s="388">
        <f t="shared" ref="HF6:HK6" si="72">SUM(HF10,HF14,HF18,HF22,HF26,HF30)</f>
        <v>9511.775999999998</v>
      </c>
      <c r="HG6" s="388">
        <f t="shared" si="72"/>
        <v>7530.7390000000014</v>
      </c>
      <c r="HH6" s="388">
        <f t="shared" si="72"/>
        <v>9641.3060000000005</v>
      </c>
      <c r="HI6" s="388">
        <f t="shared" si="72"/>
        <v>9501.262999999999</v>
      </c>
      <c r="HJ6" s="388">
        <f t="shared" si="72"/>
        <v>8818.5780000000013</v>
      </c>
      <c r="HK6" s="388">
        <f t="shared" si="72"/>
        <v>8764.58</v>
      </c>
      <c r="HL6" s="347">
        <f>SUM(GZ6:HK6)</f>
        <v>106172.81300000001</v>
      </c>
      <c r="HM6" s="388">
        <f t="shared" si="28"/>
        <v>8210.1229999999996</v>
      </c>
      <c r="HN6" s="271">
        <f t="shared" si="28"/>
        <v>8997.0630000000001</v>
      </c>
      <c r="HO6" s="412">
        <f t="shared" si="28"/>
        <v>9385.3029999999999</v>
      </c>
      <c r="HP6" s="271">
        <f t="shared" si="28"/>
        <v>9019.2829999999994</v>
      </c>
      <c r="HQ6" s="412">
        <f t="shared" si="28"/>
        <v>7825.2160000000003</v>
      </c>
      <c r="HR6" s="412">
        <f t="shared" si="28"/>
        <v>9413.8539999999994</v>
      </c>
      <c r="HS6" s="412">
        <f t="shared" si="28"/>
        <v>9217.6270000000004</v>
      </c>
      <c r="HT6" s="412">
        <f t="shared" si="28"/>
        <v>7414.5929999999998</v>
      </c>
      <c r="HU6" s="412">
        <f t="shared" si="28"/>
        <v>9118.3990000000013</v>
      </c>
      <c r="HV6" s="412">
        <f t="shared" si="28"/>
        <v>8968.9979999999996</v>
      </c>
      <c r="HW6" s="412">
        <f t="shared" si="28"/>
        <v>8955.5130000000008</v>
      </c>
      <c r="HX6" s="412">
        <f t="shared" si="28"/>
        <v>8340.7109999999993</v>
      </c>
      <c r="HY6" s="458">
        <f>SUM(HM6:HX6)</f>
        <v>104866.683</v>
      </c>
      <c r="HZ6" s="467">
        <f t="shared" si="28"/>
        <v>7739870</v>
      </c>
      <c r="IA6" s="467">
        <f t="shared" si="28"/>
        <v>9061877</v>
      </c>
      <c r="IB6" s="467">
        <f t="shared" si="28"/>
        <v>9336685</v>
      </c>
      <c r="IC6" s="467">
        <f t="shared" si="28"/>
        <v>9055564</v>
      </c>
      <c r="ID6" s="467">
        <f t="shared" si="28"/>
        <v>7802650</v>
      </c>
      <c r="IE6" s="467">
        <f t="shared" si="28"/>
        <v>9318659</v>
      </c>
      <c r="IF6" s="467">
        <f t="shared" si="28"/>
        <v>9061192</v>
      </c>
      <c r="IG6" s="467">
        <f t="shared" si="28"/>
        <v>7950432</v>
      </c>
      <c r="IH6" s="467">
        <f t="shared" si="28"/>
        <v>9463526</v>
      </c>
      <c r="II6" s="467">
        <f t="shared" si="28"/>
        <v>9207669</v>
      </c>
      <c r="IJ6" s="467">
        <f t="shared" si="28"/>
        <v>9587755</v>
      </c>
      <c r="IK6" s="467">
        <f t="shared" si="28"/>
        <v>9121167</v>
      </c>
      <c r="IL6" s="468">
        <f>SUM(HZ6:IK6)</f>
        <v>106707046</v>
      </c>
      <c r="IM6" s="467">
        <f t="shared" ref="IM6" si="73">SUM(IM10,IM14,IM18,IM22,IM26,IM30)</f>
        <v>8302482</v>
      </c>
      <c r="IN6" s="467">
        <f t="shared" si="29"/>
        <v>9356077</v>
      </c>
      <c r="IO6" s="467">
        <f t="shared" si="29"/>
        <v>10133418</v>
      </c>
      <c r="IP6" s="467">
        <f t="shared" si="29"/>
        <v>9504587</v>
      </c>
      <c r="IQ6" s="467">
        <f t="shared" si="29"/>
        <v>8381908</v>
      </c>
      <c r="IR6" s="467">
        <f t="shared" si="29"/>
        <v>10017690</v>
      </c>
      <c r="IS6" s="467">
        <f t="shared" si="29"/>
        <v>9957335</v>
      </c>
      <c r="IT6" s="467">
        <f t="shared" si="29"/>
        <v>8405898</v>
      </c>
      <c r="IU6" s="467">
        <f t="shared" si="29"/>
        <v>9721128</v>
      </c>
      <c r="IV6" s="467">
        <f t="shared" si="30"/>
        <v>10067085</v>
      </c>
      <c r="IW6" s="467">
        <f t="shared" si="30"/>
        <v>10304389</v>
      </c>
      <c r="IX6" s="467">
        <f t="shared" si="31"/>
        <v>9757365</v>
      </c>
      <c r="IY6" s="468">
        <f>SUM(IM6:IX6)</f>
        <v>113909362</v>
      </c>
      <c r="IZ6" s="467">
        <f t="shared" ref="IZ6:JJ6" si="74">SUM(IZ10,IZ14,IZ18,IZ22,IZ26,IZ30)</f>
        <v>8515022</v>
      </c>
      <c r="JA6" s="467">
        <f t="shared" si="74"/>
        <v>9845715</v>
      </c>
      <c r="JB6" s="467">
        <f t="shared" si="74"/>
        <v>10433894</v>
      </c>
      <c r="JC6" s="467">
        <f t="shared" si="74"/>
        <v>10107512</v>
      </c>
      <c r="JD6" s="467">
        <f t="shared" si="74"/>
        <v>9159896</v>
      </c>
      <c r="JE6" s="467">
        <f t="shared" si="74"/>
        <v>10583251</v>
      </c>
      <c r="JF6" s="520">
        <f t="shared" si="74"/>
        <v>10493</v>
      </c>
      <c r="JG6" s="520">
        <f t="shared" si="74"/>
        <v>8742</v>
      </c>
      <c r="JH6" s="520">
        <f t="shared" si="74"/>
        <v>9952</v>
      </c>
      <c r="JI6" s="520">
        <f t="shared" si="74"/>
        <v>10861</v>
      </c>
      <c r="JJ6" s="520">
        <f t="shared" si="74"/>
        <v>10471</v>
      </c>
      <c r="JK6" s="522">
        <v>9814</v>
      </c>
      <c r="JL6" s="524">
        <v>118979</v>
      </c>
      <c r="JM6" s="522">
        <f t="shared" ref="JM6:JN6" si="75">JM10+JM14+JM18+JM22+JM26+JM30</f>
        <v>8588</v>
      </c>
      <c r="JN6" s="565">
        <f t="shared" si="75"/>
        <v>10082</v>
      </c>
    </row>
    <row r="7" spans="1:274" ht="13.5" customHeight="1" thickBot="1" x14ac:dyDescent="0.35">
      <c r="A7" s="548"/>
      <c r="B7" s="47" t="s">
        <v>102</v>
      </c>
      <c r="C7" s="201"/>
      <c r="D7" s="202">
        <f t="shared" ref="D7:N7" si="76">(D6/C6-1)*100</f>
        <v>8.3697794011630791</v>
      </c>
      <c r="E7" s="202">
        <f t="shared" si="76"/>
        <v>-0.17961283455661947</v>
      </c>
      <c r="F7" s="202">
        <f t="shared" si="76"/>
        <v>-11.828016705171496</v>
      </c>
      <c r="G7" s="202">
        <f t="shared" si="76"/>
        <v>-6.304876358918154</v>
      </c>
      <c r="H7" s="202">
        <f t="shared" si="76"/>
        <v>-1.2933932076689358</v>
      </c>
      <c r="I7" s="202">
        <f t="shared" si="76"/>
        <v>5.32717663724529</v>
      </c>
      <c r="J7" s="202">
        <f t="shared" si="76"/>
        <v>0.30778382712377539</v>
      </c>
      <c r="K7" s="202">
        <f t="shared" si="76"/>
        <v>4.2557854702507614</v>
      </c>
      <c r="L7" s="202">
        <f t="shared" si="76"/>
        <v>-15.029802389137581</v>
      </c>
      <c r="M7" s="202">
        <f t="shared" si="76"/>
        <v>-2.6501921061823253</v>
      </c>
      <c r="N7" s="202">
        <f t="shared" si="76"/>
        <v>9.1566877457355922</v>
      </c>
      <c r="O7" s="203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5"/>
      <c r="AA7" s="202">
        <f t="shared" ref="AA7:AL7" si="77">(AA6/O6-1)*100</f>
        <v>8.7865259740259827</v>
      </c>
      <c r="AB7" s="202">
        <f t="shared" si="77"/>
        <v>8.5531004989308546</v>
      </c>
      <c r="AC7" s="202">
        <f t="shared" si="77"/>
        <v>8.2327297116029605</v>
      </c>
      <c r="AD7" s="202">
        <f t="shared" si="77"/>
        <v>10.424990918997468</v>
      </c>
      <c r="AE7" s="202">
        <f t="shared" si="77"/>
        <v>12.378109452736318</v>
      </c>
      <c r="AF7" s="202">
        <f t="shared" si="77"/>
        <v>13.649956024626221</v>
      </c>
      <c r="AG7" s="202">
        <f t="shared" si="77"/>
        <v>8.3797909407665507</v>
      </c>
      <c r="AH7" s="202">
        <f t="shared" si="77"/>
        <v>11.127019840458164</v>
      </c>
      <c r="AI7" s="202">
        <f t="shared" si="77"/>
        <v>7.831950207468874</v>
      </c>
      <c r="AJ7" s="202">
        <f t="shared" si="77"/>
        <v>10.34188034188035</v>
      </c>
      <c r="AK7" s="202">
        <f t="shared" si="77"/>
        <v>5.2962595167163284</v>
      </c>
      <c r="AL7" s="206">
        <f t="shared" si="77"/>
        <v>6.0792349726775941</v>
      </c>
      <c r="AM7" s="202">
        <f>(AM6/N6-1)*100</f>
        <v>-5.3180124904130599</v>
      </c>
      <c r="AN7" s="207">
        <f t="shared" ref="AN7:AY7" si="78">(AN6/AA6-1)*100</f>
        <v>2.2383883603805277</v>
      </c>
      <c r="AO7" s="202">
        <f t="shared" si="78"/>
        <v>2.1831910702560631</v>
      </c>
      <c r="AP7" s="206">
        <f t="shared" si="78"/>
        <v>-0.55770720371804972</v>
      </c>
      <c r="AQ7" s="202">
        <f t="shared" si="78"/>
        <v>-9.8684210526311933E-2</v>
      </c>
      <c r="AR7" s="202">
        <f t="shared" si="78"/>
        <v>-5.0469275721622076</v>
      </c>
      <c r="AS7" s="208">
        <f t="shared" si="78"/>
        <v>-8.4042717845534742</v>
      </c>
      <c r="AT7" s="202">
        <f t="shared" si="78"/>
        <v>-6.1083427101752079</v>
      </c>
      <c r="AU7" s="208">
        <f t="shared" si="78"/>
        <v>-5.0616602245536546</v>
      </c>
      <c r="AV7" s="202">
        <f t="shared" si="78"/>
        <v>-8.4175084175084116</v>
      </c>
      <c r="AW7" s="208">
        <f t="shared" si="78"/>
        <v>-8.783888458559252</v>
      </c>
      <c r="AX7" s="202">
        <f t="shared" si="78"/>
        <v>-10.546997799434143</v>
      </c>
      <c r="AY7" s="209">
        <f t="shared" si="78"/>
        <v>-13.650998068254994</v>
      </c>
      <c r="AZ7" s="210">
        <f t="shared" ref="AZ7:BL7" si="79">(AZ6/AM6-1)*100</f>
        <v>1.6706927227228663</v>
      </c>
      <c r="BA7" s="211">
        <f t="shared" si="79"/>
        <v>-10.125889436234258</v>
      </c>
      <c r="BB7" s="212">
        <f t="shared" si="79"/>
        <v>-9.0281124497991971</v>
      </c>
      <c r="BC7" s="212">
        <f t="shared" si="79"/>
        <v>-10.141766630316251</v>
      </c>
      <c r="BD7" s="212">
        <f t="shared" si="79"/>
        <v>-6.3384919328284495</v>
      </c>
      <c r="BE7" s="212">
        <f t="shared" si="79"/>
        <v>2.0701230883998445</v>
      </c>
      <c r="BF7" s="212">
        <f t="shared" si="79"/>
        <v>0.23656640757012681</v>
      </c>
      <c r="BG7" s="212">
        <f t="shared" si="79"/>
        <v>7.8411230953603805</v>
      </c>
      <c r="BH7" s="212">
        <f t="shared" si="79"/>
        <v>1.4152772392400204</v>
      </c>
      <c r="BI7" s="212">
        <f t="shared" si="79"/>
        <v>9.8214285714285801</v>
      </c>
      <c r="BJ7" s="212">
        <f t="shared" si="79"/>
        <v>9.3580163043478279</v>
      </c>
      <c r="BK7" s="212">
        <f t="shared" si="79"/>
        <v>11.913547706905646</v>
      </c>
      <c r="BL7" s="212">
        <f t="shared" si="79"/>
        <v>16.070096942580172</v>
      </c>
      <c r="BM7" s="213">
        <f t="shared" ref="BM7:BX7" si="80">(BM6/BA6-1)*100</f>
        <v>17.681688997157941</v>
      </c>
      <c r="BN7" s="213">
        <f t="shared" si="80"/>
        <v>13.173229736888569</v>
      </c>
      <c r="BO7" s="213">
        <f t="shared" si="80"/>
        <v>13.453536754507622</v>
      </c>
      <c r="BP7" s="213">
        <f t="shared" si="80"/>
        <v>11.900158200035161</v>
      </c>
      <c r="BQ7" s="213">
        <f t="shared" si="80"/>
        <v>10.506120957427378</v>
      </c>
      <c r="BR7" s="213">
        <f t="shared" si="80"/>
        <v>16.908293998651391</v>
      </c>
      <c r="BS7" s="213">
        <f t="shared" si="80"/>
        <v>10.604857913954602</v>
      </c>
      <c r="BT7" s="213">
        <f t="shared" si="80"/>
        <v>11.125979736188118</v>
      </c>
      <c r="BU7" s="213">
        <f t="shared" si="80"/>
        <v>13.757372867846328</v>
      </c>
      <c r="BV7" s="213">
        <f t="shared" si="80"/>
        <v>14.008386395403004</v>
      </c>
      <c r="BW7" s="213">
        <f t="shared" si="80"/>
        <v>10.174281676872354</v>
      </c>
      <c r="BX7" s="213">
        <f t="shared" si="80"/>
        <v>14.343077417282357</v>
      </c>
      <c r="BY7" s="214">
        <f>(BY6/AZ6-1)*100</f>
        <v>13.094696107443671</v>
      </c>
      <c r="BZ7" s="215">
        <f t="shared" ref="BZ7:CK7" si="81">(BZ6/BM6-1)*100</f>
        <v>13.817491806106608</v>
      </c>
      <c r="CA7" s="215">
        <f t="shared" si="81"/>
        <v>15.244187860820713</v>
      </c>
      <c r="CB7" s="215">
        <f t="shared" si="81"/>
        <v>20.965770171149135</v>
      </c>
      <c r="CC7" s="215">
        <f t="shared" si="81"/>
        <v>19.007225887527479</v>
      </c>
      <c r="CD7" s="215">
        <f t="shared" si="81"/>
        <v>12.566137566137559</v>
      </c>
      <c r="CE7" s="216">
        <f t="shared" si="81"/>
        <v>13.107426099495312</v>
      </c>
      <c r="CF7" s="212">
        <f t="shared" si="81"/>
        <v>11.726711640591358</v>
      </c>
      <c r="CG7" s="217">
        <f t="shared" si="81"/>
        <v>16.893170479958709</v>
      </c>
      <c r="CH7" s="217">
        <f t="shared" si="81"/>
        <v>11.547085201793728</v>
      </c>
      <c r="CI7" s="217">
        <f t="shared" si="81"/>
        <v>7.2197248331290043</v>
      </c>
      <c r="CJ7" s="217">
        <f t="shared" si="81"/>
        <v>15.69948696023944</v>
      </c>
      <c r="CK7" s="342">
        <f t="shared" si="81"/>
        <v>10.436859109425489</v>
      </c>
      <c r="CL7" s="338">
        <f t="shared" ref="CL7:EL7" si="82">(CL6/BY6-1)*100</f>
        <v>13.871374477934895</v>
      </c>
      <c r="CM7" s="273">
        <f t="shared" si="82"/>
        <v>7.2446195816914249</v>
      </c>
      <c r="CN7" s="274">
        <f t="shared" si="82"/>
        <v>7.3923639317627909</v>
      </c>
      <c r="CO7" s="274">
        <f t="shared" si="82"/>
        <v>8.388074785245081</v>
      </c>
      <c r="CP7" s="359">
        <f t="shared" si="82"/>
        <v>8.8701161562829931</v>
      </c>
      <c r="CQ7" s="359">
        <f t="shared" si="82"/>
        <v>8.2990599294947121</v>
      </c>
      <c r="CR7" s="359">
        <f t="shared" si="82"/>
        <v>7.9678735339112627</v>
      </c>
      <c r="CS7" s="359">
        <f t="shared" si="82"/>
        <v>5.9352517985611586</v>
      </c>
      <c r="CT7" s="359">
        <f t="shared" si="82"/>
        <v>7.5349521707137601</v>
      </c>
      <c r="CU7" s="359">
        <f t="shared" si="82"/>
        <v>7.9522613065326597</v>
      </c>
      <c r="CV7" s="359">
        <f t="shared" si="82"/>
        <v>8.4741455977639379</v>
      </c>
      <c r="CW7" s="359">
        <f t="shared" si="82"/>
        <v>6.3849049464361762</v>
      </c>
      <c r="CX7" s="351">
        <f t="shared" si="82"/>
        <v>6.6268125158992719</v>
      </c>
      <c r="CY7" s="338">
        <f t="shared" si="82"/>
        <v>7.5822698294615298</v>
      </c>
      <c r="CZ7" s="359">
        <f t="shared" si="82"/>
        <v>7.278123233465239</v>
      </c>
      <c r="DA7" s="359">
        <f t="shared" si="82"/>
        <v>7.8290468986384365</v>
      </c>
      <c r="DB7" s="359">
        <f t="shared" si="82"/>
        <v>6.643356643356646</v>
      </c>
      <c r="DC7" s="359">
        <f t="shared" si="82"/>
        <v>6.413676042677019</v>
      </c>
      <c r="DD7" s="359">
        <f t="shared" si="82"/>
        <v>4.6249830462498309</v>
      </c>
      <c r="DE7" s="359">
        <f t="shared" si="82"/>
        <v>5.6086905183610813</v>
      </c>
      <c r="DF7" s="359">
        <f t="shared" si="82"/>
        <v>5.7846228474411898</v>
      </c>
      <c r="DG7" s="359">
        <f t="shared" si="82"/>
        <v>5.7479129601751833</v>
      </c>
      <c r="DH7" s="359">
        <f t="shared" si="82"/>
        <v>3.7355987431630489</v>
      </c>
      <c r="DI7" s="359">
        <f t="shared" si="82"/>
        <v>7.6481611618645973</v>
      </c>
      <c r="DJ7" s="359">
        <f t="shared" si="82"/>
        <v>5.8700937825633792</v>
      </c>
      <c r="DK7" s="359">
        <f t="shared" si="82"/>
        <v>5.1055707980436571</v>
      </c>
      <c r="DL7" s="338">
        <f t="shared" si="82"/>
        <v>6.0144585241625803</v>
      </c>
      <c r="DM7" s="359">
        <f t="shared" si="82"/>
        <v>4.320906336451058</v>
      </c>
      <c r="DN7" s="359">
        <f t="shared" si="82"/>
        <v>4.9573249152344179</v>
      </c>
      <c r="DO7" s="359">
        <f t="shared" si="82"/>
        <v>3.2677595628415324</v>
      </c>
      <c r="DP7" s="359">
        <f t="shared" si="82"/>
        <v>4.0332687706505554</v>
      </c>
      <c r="DQ7" s="359">
        <f t="shared" si="82"/>
        <v>9.1262639357013278</v>
      </c>
      <c r="DR7" s="359">
        <f t="shared" si="82"/>
        <v>4.9530411449016043</v>
      </c>
      <c r="DS7" s="359">
        <f t="shared" si="82"/>
        <v>7.5203485039550655</v>
      </c>
      <c r="DT7" s="359">
        <f t="shared" si="82"/>
        <v>3.7013071049566415</v>
      </c>
      <c r="DU7" s="359">
        <f t="shared" si="82"/>
        <v>3.9937177473637009</v>
      </c>
      <c r="DV7" s="359">
        <f t="shared" si="82"/>
        <v>7.8337504080078446</v>
      </c>
      <c r="DW7" s="359">
        <f t="shared" si="82"/>
        <v>7.513123359580054</v>
      </c>
      <c r="DX7" s="274">
        <f t="shared" si="82"/>
        <v>5.084553399160141</v>
      </c>
      <c r="DY7" s="383">
        <f t="shared" si="82"/>
        <v>5.5260124565329027</v>
      </c>
      <c r="DZ7" s="389">
        <f t="shared" si="82"/>
        <v>4.5334006819042871</v>
      </c>
      <c r="EA7" s="389">
        <f t="shared" si="82"/>
        <v>9.3795254539378305</v>
      </c>
      <c r="EB7" s="389">
        <f t="shared" si="82"/>
        <v>5.0799026351994847</v>
      </c>
      <c r="EC7" s="389">
        <f t="shared" si="82"/>
        <v>5.158252108202821</v>
      </c>
      <c r="ED7" s="389">
        <f t="shared" si="82"/>
        <v>5.7020669992872364</v>
      </c>
      <c r="EE7" s="389">
        <f t="shared" si="82"/>
        <v>5.6993714711835564</v>
      </c>
      <c r="EF7" s="389">
        <f t="shared" si="82"/>
        <v>6.6531613178377302</v>
      </c>
      <c r="EG7" s="389">
        <f t="shared" si="82"/>
        <v>-1.0108573567952028</v>
      </c>
      <c r="EH7" s="389">
        <f t="shared" si="82"/>
        <v>5.134843581445514</v>
      </c>
      <c r="EI7" s="389">
        <f t="shared" si="82"/>
        <v>-3.9047522954293257</v>
      </c>
      <c r="EJ7" s="389">
        <f t="shared" si="82"/>
        <v>-15.410436374732983</v>
      </c>
      <c r="EK7" s="389">
        <f t="shared" si="82"/>
        <v>-25.845123663462577</v>
      </c>
      <c r="EL7" s="383">
        <f t="shared" si="82"/>
        <v>-0.10005140255544553</v>
      </c>
      <c r="EM7" s="389">
        <f t="shared" ref="EM7:EX7" si="83">(EM6/DZ6-1)*100</f>
        <v>-40.565353950229522</v>
      </c>
      <c r="EN7" s="389">
        <f t="shared" si="83"/>
        <v>-53.651084631836234</v>
      </c>
      <c r="EO7" s="389">
        <f t="shared" si="83"/>
        <v>-55.312720314231044</v>
      </c>
      <c r="EP7" s="389">
        <f t="shared" si="83"/>
        <v>-52.399531347635907</v>
      </c>
      <c r="EQ7" s="389">
        <f t="shared" si="83"/>
        <v>-51.675848505282083</v>
      </c>
      <c r="ER7" s="389">
        <f t="shared" si="83"/>
        <v>-45.802146744607938</v>
      </c>
      <c r="ES7" s="389">
        <f t="shared" si="83"/>
        <v>-43.496121163650905</v>
      </c>
      <c r="ET7" s="389">
        <f t="shared" si="83"/>
        <v>-39.110337871911248</v>
      </c>
      <c r="EU7" s="389">
        <f t="shared" si="83"/>
        <v>-37.638364457213214</v>
      </c>
      <c r="EV7" s="389">
        <f t="shared" si="83"/>
        <v>-33.037557748845018</v>
      </c>
      <c r="EW7" s="389">
        <f t="shared" si="83"/>
        <v>-21.073268398268397</v>
      </c>
      <c r="EX7" s="389">
        <f t="shared" si="83"/>
        <v>-6.7514564520827269</v>
      </c>
      <c r="EY7" s="383">
        <f t="shared" ref="EY7:FX7" si="84">(EY6/EL6-1)*100</f>
        <v>-41.14108329122066</v>
      </c>
      <c r="EZ7" s="389">
        <f t="shared" si="84"/>
        <v>23.186443089430874</v>
      </c>
      <c r="FA7" s="389">
        <f t="shared" si="84"/>
        <v>53.989474840694342</v>
      </c>
      <c r="FB7" s="389">
        <f t="shared" si="84"/>
        <v>69.617782285327905</v>
      </c>
      <c r="FC7" s="389">
        <f t="shared" si="84"/>
        <v>56.932300091213484</v>
      </c>
      <c r="FD7" s="389">
        <f t="shared" si="84"/>
        <v>52.32863312792464</v>
      </c>
      <c r="FE7" s="389">
        <f t="shared" si="84"/>
        <v>46.461011423314602</v>
      </c>
      <c r="FF7" s="389">
        <f t="shared" si="84"/>
        <v>39.080406285611872</v>
      </c>
      <c r="FG7" s="389">
        <f t="shared" si="84"/>
        <v>38.542907236952153</v>
      </c>
      <c r="FH7" s="389">
        <f t="shared" si="84"/>
        <v>30.567157499508447</v>
      </c>
      <c r="FI7" s="389">
        <f t="shared" si="84"/>
        <v>21.327093064479929</v>
      </c>
      <c r="FJ7" s="389">
        <f t="shared" si="84"/>
        <v>23.034953509131562</v>
      </c>
      <c r="FK7" s="389">
        <f t="shared" si="84"/>
        <v>22.438459057438198</v>
      </c>
      <c r="FL7" s="383">
        <f t="shared" si="84"/>
        <v>37.893573656402488</v>
      </c>
      <c r="FM7" s="389">
        <f t="shared" si="84"/>
        <v>17.881580451866476</v>
      </c>
      <c r="FN7" s="389">
        <f t="shared" si="84"/>
        <v>16.032109309550833</v>
      </c>
      <c r="FO7" s="389">
        <f t="shared" si="84"/>
        <v>5.9359221657464545</v>
      </c>
      <c r="FP7" s="389">
        <f t="shared" si="84"/>
        <v>2.9659922291932261</v>
      </c>
      <c r="FQ7" s="389">
        <f t="shared" si="84"/>
        <v>-1.342498182811358</v>
      </c>
      <c r="FR7" s="389">
        <f t="shared" si="84"/>
        <v>3.3706507031462829</v>
      </c>
      <c r="FS7" s="389">
        <f t="shared" si="84"/>
        <v>4.458538037435722</v>
      </c>
      <c r="FT7" s="389">
        <f t="shared" si="84"/>
        <v>11.490485930912397</v>
      </c>
      <c r="FU7" s="389">
        <f t="shared" si="84"/>
        <v>9.9117958204614443</v>
      </c>
      <c r="FV7" s="389">
        <f t="shared" si="84"/>
        <v>13.62480208756185</v>
      </c>
      <c r="FW7" s="389">
        <f t="shared" si="84"/>
        <v>8.0470120762206054</v>
      </c>
      <c r="FX7" s="389">
        <f t="shared" si="84"/>
        <v>7.2264832942235957</v>
      </c>
      <c r="FY7" s="383">
        <f t="shared" ref="FY7:HY7" si="85">(FY6/FL6-1)*100</f>
        <v>8.1744620111637634</v>
      </c>
      <c r="FZ7" s="389">
        <f t="shared" si="85"/>
        <v>3.2070666600415576</v>
      </c>
      <c r="GA7" s="389">
        <f t="shared" si="85"/>
        <v>8.1025864402348269</v>
      </c>
      <c r="GB7" s="389">
        <f t="shared" si="85"/>
        <v>8.5180068170344292</v>
      </c>
      <c r="GC7" s="389">
        <f t="shared" si="85"/>
        <v>12.253046041926009</v>
      </c>
      <c r="GD7" s="413">
        <f t="shared" si="85"/>
        <v>17.203413174208659</v>
      </c>
      <c r="GE7" s="413">
        <f t="shared" si="85"/>
        <v>4.4831447259620738</v>
      </c>
      <c r="GF7" s="413">
        <f t="shared" si="85"/>
        <v>2.7142676732156978</v>
      </c>
      <c r="GG7" s="413">
        <f t="shared" si="85"/>
        <v>-8.751523424954188</v>
      </c>
      <c r="GH7" s="413">
        <f t="shared" si="85"/>
        <v>-9.3963945929671731</v>
      </c>
      <c r="GI7" s="413">
        <f t="shared" si="85"/>
        <v>-8.8953701240360843</v>
      </c>
      <c r="GJ7" s="413">
        <f t="shared" si="85"/>
        <v>-14.697952732803154</v>
      </c>
      <c r="GK7" s="413">
        <f t="shared" si="85"/>
        <v>-17.806630695958603</v>
      </c>
      <c r="GL7" s="383">
        <f t="shared" si="85"/>
        <v>-0.9021856964810393</v>
      </c>
      <c r="GM7" s="389">
        <f t="shared" si="85"/>
        <v>-7.1378615654494766</v>
      </c>
      <c r="GN7" s="389">
        <f t="shared" si="85"/>
        <v>-9.396231441978486</v>
      </c>
      <c r="GO7" s="389">
        <f t="shared" si="85"/>
        <v>-6.0826270824019257</v>
      </c>
      <c r="GP7" s="389">
        <f t="shared" si="85"/>
        <v>0.3946235377572993</v>
      </c>
      <c r="GQ7" s="389">
        <f t="shared" si="85"/>
        <v>4.7004980915556827</v>
      </c>
      <c r="GR7" s="389">
        <f t="shared" si="85"/>
        <v>-0.87220005595772809</v>
      </c>
      <c r="GS7" s="389">
        <f t="shared" si="85"/>
        <v>6.3648057225357046</v>
      </c>
      <c r="GT7" s="389">
        <f t="shared" si="85"/>
        <v>6.8019031373149019</v>
      </c>
      <c r="GU7" s="389">
        <f t="shared" si="85"/>
        <v>11.869221569676714</v>
      </c>
      <c r="GV7" s="389">
        <f t="shared" si="85"/>
        <v>12.450811861009893</v>
      </c>
      <c r="GW7" s="389">
        <f t="shared" si="85"/>
        <v>18.021991841567164</v>
      </c>
      <c r="GX7" s="389">
        <f t="shared" si="85"/>
        <v>23.175634433712734</v>
      </c>
      <c r="GY7" s="383">
        <f t="shared" si="85"/>
        <v>4.5553879855305457</v>
      </c>
      <c r="GZ7" s="389">
        <f t="shared" si="85"/>
        <v>16.711956740008471</v>
      </c>
      <c r="HA7" s="389">
        <f t="shared" si="85"/>
        <v>10.015584158599866</v>
      </c>
      <c r="HB7" s="389">
        <f t="shared" si="85"/>
        <v>10.245150717516083</v>
      </c>
      <c r="HC7" s="389">
        <f t="shared" si="85"/>
        <v>6.7563010105910815</v>
      </c>
      <c r="HD7" s="389">
        <f t="shared" si="85"/>
        <v>5.8532405346475747</v>
      </c>
      <c r="HE7" s="389">
        <f t="shared" si="85"/>
        <v>11.635609430343852</v>
      </c>
      <c r="HF7" s="389">
        <f t="shared" si="85"/>
        <v>6.0265094809683672</v>
      </c>
      <c r="HG7" s="389">
        <f t="shared" si="85"/>
        <v>3.5820750996759632</v>
      </c>
      <c r="HH7" s="389">
        <f t="shared" si="85"/>
        <v>9.0580213016664644</v>
      </c>
      <c r="HI7" s="389">
        <f t="shared" si="85"/>
        <v>5.486453842543848</v>
      </c>
      <c r="HJ7" s="389">
        <f t="shared" si="85"/>
        <v>0.39135033453812085</v>
      </c>
      <c r="HK7" s="389">
        <f t="shared" si="85"/>
        <v>2.9920597718648745</v>
      </c>
      <c r="HL7" s="383">
        <f t="shared" si="85"/>
        <v>7.2391129478632132</v>
      </c>
      <c r="HM7" s="389">
        <f t="shared" si="85"/>
        <v>2.733534476156918</v>
      </c>
      <c r="HN7" s="273">
        <f t="shared" si="85"/>
        <v>2.6805402166056647</v>
      </c>
      <c r="HO7" s="413">
        <f t="shared" si="85"/>
        <v>4.7700129660566137</v>
      </c>
      <c r="HP7" s="273">
        <f t="shared" si="85"/>
        <v>1.5057927050923015</v>
      </c>
      <c r="HQ7" s="413">
        <f t="shared" si="85"/>
        <v>-6.7744677505151234</v>
      </c>
      <c r="HR7" s="413">
        <f t="shared" si="85"/>
        <v>5.1628705050044132E-3</v>
      </c>
      <c r="HS7" s="413">
        <f t="shared" si="85"/>
        <v>-3.0924719000951839</v>
      </c>
      <c r="HT7" s="413">
        <f t="shared" si="85"/>
        <v>-1.5422921973527681</v>
      </c>
      <c r="HU7" s="413">
        <f t="shared" si="85"/>
        <v>-5.423611697419406</v>
      </c>
      <c r="HV7" s="413">
        <f t="shared" si="85"/>
        <v>-5.6020446965840183</v>
      </c>
      <c r="HW7" s="413">
        <f t="shared" si="85"/>
        <v>1.5528013700167875</v>
      </c>
      <c r="HX7" s="413">
        <f t="shared" si="85"/>
        <v>-4.8361587206688821</v>
      </c>
      <c r="HY7" s="459">
        <f t="shared" si="85"/>
        <v>-1.2301925164213245</v>
      </c>
      <c r="HZ7" s="413">
        <f>(7740/8210-1)*100</f>
        <v>-5.7247259439707658</v>
      </c>
      <c r="IA7" s="413">
        <f>(9062/8997-1)*100</f>
        <v>0.72246304323664301</v>
      </c>
      <c r="IB7" s="413">
        <f>(9337/9385-1)*100</f>
        <v>-0.51145444858817779</v>
      </c>
      <c r="IC7" s="413">
        <f>(9056/9019-1)*100</f>
        <v>0.41024503825257685</v>
      </c>
      <c r="ID7" s="413">
        <f>(7803/7825-1)*100</f>
        <v>-0.28115015974441437</v>
      </c>
      <c r="IE7" s="413">
        <f>(9319/9414-1)*100</f>
        <v>-1.0091353303590345</v>
      </c>
      <c r="IF7" s="413">
        <f>(9061/9218-1)*100</f>
        <v>-1.7031894120199564</v>
      </c>
      <c r="IG7" s="413">
        <f>(7950/7415-1)*100</f>
        <v>7.2151045178691753</v>
      </c>
      <c r="IH7" s="413">
        <f>(9464/9118-1)*100</f>
        <v>3.794691818381235</v>
      </c>
      <c r="II7" s="413">
        <f>(9208/8969-1)*100</f>
        <v>2.6647340840673328</v>
      </c>
      <c r="IJ7" s="413">
        <f>(9588/8956-1)*100</f>
        <v>7.0567217507816027</v>
      </c>
      <c r="IK7" s="413">
        <f>(9121/8341-1)*100</f>
        <v>9.3513967150221866</v>
      </c>
      <c r="IL7" s="465">
        <f>(106707/104867-1)*100</f>
        <v>1.7546034500844021</v>
      </c>
      <c r="IM7" s="413">
        <f>(8302/7740-1)*100</f>
        <v>7.2609819121447039</v>
      </c>
      <c r="IN7" s="502">
        <f t="shared" si="45"/>
        <v>3.246568012344464</v>
      </c>
      <c r="IO7" s="502">
        <f t="shared" si="45"/>
        <v>8.5333606092526502</v>
      </c>
      <c r="IP7" s="502">
        <f t="shared" ref="IP7:IX7" si="86">(IP6/IC6-1)*100</f>
        <v>4.9585315724122836</v>
      </c>
      <c r="IQ7" s="502">
        <f t="shared" si="86"/>
        <v>7.4238624057211267</v>
      </c>
      <c r="IR7" s="502">
        <f t="shared" si="86"/>
        <v>7.5014119520845135</v>
      </c>
      <c r="IS7" s="502">
        <f t="shared" si="86"/>
        <v>9.8899019025311397</v>
      </c>
      <c r="IT7" s="502">
        <f t="shared" si="86"/>
        <v>5.7288207735126884</v>
      </c>
      <c r="IU7" s="502">
        <f t="shared" si="86"/>
        <v>2.7220509564828133</v>
      </c>
      <c r="IV7" s="502">
        <f t="shared" si="86"/>
        <v>9.3336978121172578</v>
      </c>
      <c r="IW7" s="502">
        <f t="shared" si="86"/>
        <v>7.4744713439173216</v>
      </c>
      <c r="IX7" s="502">
        <f t="shared" si="86"/>
        <v>6.9749627432542427</v>
      </c>
      <c r="IY7" s="465">
        <f t="shared" ref="IY7:JE7" si="87">(IY6/IL6-1)*100</f>
        <v>6.7496161406248589</v>
      </c>
      <c r="IZ7" s="502">
        <f t="shared" si="87"/>
        <v>2.5599573717835167</v>
      </c>
      <c r="JA7" s="502">
        <f t="shared" si="87"/>
        <v>5.2333686437167959</v>
      </c>
      <c r="JB7" s="502">
        <f t="shared" si="87"/>
        <v>2.965198909193334</v>
      </c>
      <c r="JC7" s="502">
        <f t="shared" si="87"/>
        <v>6.343516030733376</v>
      </c>
      <c r="JD7" s="502">
        <f t="shared" si="87"/>
        <v>9.2817530328416886</v>
      </c>
      <c r="JE7" s="502">
        <f t="shared" si="87"/>
        <v>5.6456228931021091</v>
      </c>
      <c r="JF7" s="502">
        <f>(JF6/9957-1)*100</f>
        <v>5.3831475343979029</v>
      </c>
      <c r="JG7" s="502">
        <f>(JG6/8406-1)*100</f>
        <v>3.9971448965024914</v>
      </c>
      <c r="JH7" s="502">
        <f>(JH6/9721-1)*100</f>
        <v>2.376298734698068</v>
      </c>
      <c r="JI7" s="502">
        <f>(JI6/10067-1)*100</f>
        <v>7.8871560544352848</v>
      </c>
      <c r="JJ7" s="502">
        <f>(JJ6/10304-1)*100</f>
        <v>1.6207298136645898</v>
      </c>
      <c r="JK7" s="502">
        <f>(JK6/9757-1)*100</f>
        <v>0.58419596187353484</v>
      </c>
      <c r="JL7" s="511">
        <f>(JL6/113909-1)*100</f>
        <v>4.4509213494982935</v>
      </c>
      <c r="JM7" s="502">
        <f>(JM6/8515-1)*100</f>
        <v>0.85731062830298743</v>
      </c>
      <c r="JN7" s="566">
        <f t="shared" ref="JN7" si="88">(JN6/JA6-1)*100</f>
        <v>-99.897600123505498</v>
      </c>
    </row>
    <row r="8" spans="1:274" ht="13.5" customHeight="1" x14ac:dyDescent="0.3">
      <c r="A8" s="549" t="s">
        <v>417</v>
      </c>
      <c r="B8" s="48" t="s">
        <v>108</v>
      </c>
      <c r="C8" s="218">
        <v>499879</v>
      </c>
      <c r="D8" s="191">
        <v>535297</v>
      </c>
      <c r="E8" s="218">
        <v>522809</v>
      </c>
      <c r="F8" s="191">
        <v>429369</v>
      </c>
      <c r="G8" s="218">
        <v>407748</v>
      </c>
      <c r="H8" s="191">
        <v>387309</v>
      </c>
      <c r="I8" s="218">
        <v>385092</v>
      </c>
      <c r="J8" s="191">
        <v>341682</v>
      </c>
      <c r="K8" s="218">
        <v>348743</v>
      </c>
      <c r="L8" s="191">
        <v>283924</v>
      </c>
      <c r="M8" s="219">
        <v>276724</v>
      </c>
      <c r="N8" s="191">
        <f>SUM(AA8:AL8)</f>
        <v>311854</v>
      </c>
      <c r="O8" s="220">
        <v>20670</v>
      </c>
      <c r="P8" s="221">
        <v>22814</v>
      </c>
      <c r="Q8" s="221">
        <v>23391</v>
      </c>
      <c r="R8" s="221">
        <v>22661</v>
      </c>
      <c r="S8" s="221">
        <v>20249</v>
      </c>
      <c r="T8" s="221">
        <v>22378</v>
      </c>
      <c r="U8" s="221">
        <v>23161</v>
      </c>
      <c r="V8" s="221">
        <v>21117</v>
      </c>
      <c r="W8" s="221">
        <v>23828</v>
      </c>
      <c r="X8" s="221">
        <v>24738</v>
      </c>
      <c r="Y8" s="221">
        <v>26833</v>
      </c>
      <c r="Z8" s="222">
        <v>24884</v>
      </c>
      <c r="AA8" s="191">
        <v>23353</v>
      </c>
      <c r="AB8" s="218">
        <v>25630</v>
      </c>
      <c r="AC8" s="191">
        <v>26724</v>
      </c>
      <c r="AD8" s="218">
        <v>24695</v>
      </c>
      <c r="AE8" s="191">
        <v>24110</v>
      </c>
      <c r="AF8" s="218">
        <v>26888</v>
      </c>
      <c r="AG8" s="191">
        <v>26052</v>
      </c>
      <c r="AH8" s="218">
        <v>23910</v>
      </c>
      <c r="AI8" s="191">
        <v>26321</v>
      </c>
      <c r="AJ8" s="218">
        <v>28224</v>
      </c>
      <c r="AK8" s="191">
        <v>28578</v>
      </c>
      <c r="AL8" s="218">
        <v>27369</v>
      </c>
      <c r="AM8" s="159">
        <f>SUM(AN8:AY8)</f>
        <v>285061</v>
      </c>
      <c r="AN8" s="192">
        <v>23815</v>
      </c>
      <c r="AO8" s="191">
        <v>26806</v>
      </c>
      <c r="AP8" s="193">
        <v>26934</v>
      </c>
      <c r="AQ8" s="194">
        <v>25341</v>
      </c>
      <c r="AR8" s="194">
        <v>22596</v>
      </c>
      <c r="AS8" s="194">
        <v>24306</v>
      </c>
      <c r="AT8" s="194">
        <v>22314</v>
      </c>
      <c r="AU8" s="194">
        <v>20825</v>
      </c>
      <c r="AV8" s="194">
        <v>22836</v>
      </c>
      <c r="AW8" s="194">
        <v>23117</v>
      </c>
      <c r="AX8" s="194">
        <v>23767</v>
      </c>
      <c r="AY8" s="195">
        <v>22404</v>
      </c>
      <c r="AZ8" s="168">
        <f>SUM(BA8:BL8)</f>
        <v>285695</v>
      </c>
      <c r="BA8" s="187">
        <v>19900</v>
      </c>
      <c r="BB8" s="189">
        <v>23208</v>
      </c>
      <c r="BC8" s="189">
        <v>22797</v>
      </c>
      <c r="BD8" s="189">
        <v>22608</v>
      </c>
      <c r="BE8" s="189">
        <v>20929</v>
      </c>
      <c r="BF8" s="189">
        <v>24299</v>
      </c>
      <c r="BG8" s="189">
        <v>25264</v>
      </c>
      <c r="BH8" s="189">
        <v>21192</v>
      </c>
      <c r="BI8" s="189">
        <v>25181</v>
      </c>
      <c r="BJ8" s="189">
        <v>26884</v>
      </c>
      <c r="BK8" s="189">
        <v>27042</v>
      </c>
      <c r="BL8" s="189">
        <v>26391</v>
      </c>
      <c r="BM8" s="190">
        <v>23720</v>
      </c>
      <c r="BN8" s="190">
        <v>27605</v>
      </c>
      <c r="BO8" s="190">
        <v>28472</v>
      </c>
      <c r="BP8" s="190">
        <v>28256</v>
      </c>
      <c r="BQ8" s="190">
        <v>26918</v>
      </c>
      <c r="BR8" s="190">
        <v>33148</v>
      </c>
      <c r="BS8" s="190">
        <v>32397</v>
      </c>
      <c r="BT8" s="190">
        <v>26729</v>
      </c>
      <c r="BU8" s="190">
        <v>31878</v>
      </c>
      <c r="BV8" s="190">
        <v>33387</v>
      </c>
      <c r="BW8" s="190">
        <v>32445</v>
      </c>
      <c r="BX8" s="190">
        <v>32004</v>
      </c>
      <c r="BY8" s="168">
        <f>SUM(BM8:BX8)</f>
        <v>356959</v>
      </c>
      <c r="BZ8" s="170">
        <v>29242</v>
      </c>
      <c r="CA8" s="170">
        <v>33649</v>
      </c>
      <c r="CB8" s="170">
        <v>37387</v>
      </c>
      <c r="CC8" s="170">
        <v>34325</v>
      </c>
      <c r="CD8" s="170">
        <v>31709</v>
      </c>
      <c r="CE8" s="223">
        <v>36521</v>
      </c>
      <c r="CF8" s="224">
        <v>36988</v>
      </c>
      <c r="CG8" s="224">
        <v>32932</v>
      </c>
      <c r="CH8" s="224">
        <v>38005</v>
      </c>
      <c r="CI8" s="224">
        <v>38495</v>
      </c>
      <c r="CJ8" s="200">
        <v>40528</v>
      </c>
      <c r="CK8" s="341">
        <v>38698</v>
      </c>
      <c r="CL8" s="337">
        <f>SUM(BZ8:CK8)</f>
        <v>428479</v>
      </c>
      <c r="CM8" s="275">
        <v>34465</v>
      </c>
      <c r="CN8" s="276">
        <v>37278</v>
      </c>
      <c r="CO8" s="276">
        <v>39550</v>
      </c>
      <c r="CP8" s="360">
        <v>38522</v>
      </c>
      <c r="CQ8" s="360">
        <v>34874</v>
      </c>
      <c r="CR8" s="360">
        <v>40186</v>
      </c>
      <c r="CS8" s="360">
        <v>39774</v>
      </c>
      <c r="CT8" s="360">
        <v>36662</v>
      </c>
      <c r="CU8" s="360">
        <v>41963</v>
      </c>
      <c r="CV8" s="360">
        <v>41717</v>
      </c>
      <c r="CW8" s="360">
        <v>42118</v>
      </c>
      <c r="CX8" s="352">
        <v>41166</v>
      </c>
      <c r="CY8" s="337">
        <f>SUM(CM8:CX8)</f>
        <v>468275</v>
      </c>
      <c r="CZ8" s="360">
        <v>37952</v>
      </c>
      <c r="DA8" s="360">
        <v>40126</v>
      </c>
      <c r="DB8" s="360">
        <v>43743</v>
      </c>
      <c r="DC8" s="360">
        <v>40799</v>
      </c>
      <c r="DD8" s="360">
        <v>37440</v>
      </c>
      <c r="DE8" s="360">
        <v>41421</v>
      </c>
      <c r="DF8" s="360">
        <v>40061</v>
      </c>
      <c r="DG8" s="360">
        <v>36860</v>
      </c>
      <c r="DH8" s="360">
        <v>41456</v>
      </c>
      <c r="DI8" s="360">
        <v>42101</v>
      </c>
      <c r="DJ8" s="360">
        <v>41856</v>
      </c>
      <c r="DK8" s="360">
        <v>43091</v>
      </c>
      <c r="DL8" s="337">
        <f>SUM(CZ8:DK8)</f>
        <v>486906</v>
      </c>
      <c r="DM8" s="360">
        <v>37101</v>
      </c>
      <c r="DN8" s="360">
        <v>41687</v>
      </c>
      <c r="DO8" s="360">
        <v>43525</v>
      </c>
      <c r="DP8" s="360">
        <v>42098</v>
      </c>
      <c r="DQ8" s="360">
        <v>41720</v>
      </c>
      <c r="DR8" s="360">
        <v>43942</v>
      </c>
      <c r="DS8" s="360">
        <v>45015</v>
      </c>
      <c r="DT8" s="360">
        <v>38983</v>
      </c>
      <c r="DU8" s="360">
        <v>43174</v>
      </c>
      <c r="DV8" s="360">
        <v>45937</v>
      </c>
      <c r="DW8" s="360">
        <v>44894</v>
      </c>
      <c r="DX8" s="276">
        <v>43069</v>
      </c>
      <c r="DY8" s="365">
        <f>SUM(DM8:DX8)</f>
        <v>511145</v>
      </c>
      <c r="DZ8" s="390">
        <v>37789</v>
      </c>
      <c r="EA8" s="390">
        <v>45290</v>
      </c>
      <c r="EB8" s="390">
        <v>46492</v>
      </c>
      <c r="EC8" s="390">
        <v>45747</v>
      </c>
      <c r="ED8" s="390">
        <v>41268</v>
      </c>
      <c r="EE8" s="390">
        <v>44204</v>
      </c>
      <c r="EF8" s="390">
        <v>46203</v>
      </c>
      <c r="EG8" s="390">
        <v>38391</v>
      </c>
      <c r="EH8" s="390">
        <v>43605</v>
      </c>
      <c r="EI8" s="390">
        <v>43762</v>
      </c>
      <c r="EJ8" s="390">
        <v>39380</v>
      </c>
      <c r="EK8" s="390">
        <v>30907</v>
      </c>
      <c r="EL8" s="365">
        <f>SUM(DZ8:EK8)</f>
        <v>503038</v>
      </c>
      <c r="EM8" s="390">
        <v>20811</v>
      </c>
      <c r="EN8" s="390">
        <v>20159</v>
      </c>
      <c r="EO8" s="390">
        <v>19161</v>
      </c>
      <c r="EP8" s="390">
        <v>18126</v>
      </c>
      <c r="EQ8" s="390">
        <v>18951</v>
      </c>
      <c r="ER8" s="390">
        <v>20301</v>
      </c>
      <c r="ES8" s="390">
        <v>20699</v>
      </c>
      <c r="ET8" s="390">
        <v>18697</v>
      </c>
      <c r="EU8" s="390">
        <v>22220</v>
      </c>
      <c r="EV8" s="390">
        <v>23650</v>
      </c>
      <c r="EW8" s="390">
        <v>24692</v>
      </c>
      <c r="EX8" s="390">
        <v>25366</v>
      </c>
      <c r="EY8" s="365">
        <f>SUM(EM8:EX8)</f>
        <v>252833</v>
      </c>
      <c r="EZ8" s="390">
        <v>22556</v>
      </c>
      <c r="FA8" s="390">
        <v>26311</v>
      </c>
      <c r="FB8" s="390">
        <v>29694</v>
      </c>
      <c r="FC8" s="390">
        <v>30452</v>
      </c>
      <c r="FD8" s="390">
        <v>28045</v>
      </c>
      <c r="FE8" s="390">
        <v>34186</v>
      </c>
      <c r="FF8" s="390">
        <v>33784</v>
      </c>
      <c r="FG8" s="390">
        <v>29336</v>
      </c>
      <c r="FH8" s="390">
        <v>33554</v>
      </c>
      <c r="FI8" s="390">
        <v>34168</v>
      </c>
      <c r="FJ8" s="390">
        <v>37087</v>
      </c>
      <c r="FK8" s="390">
        <v>34659</v>
      </c>
      <c r="FL8" s="365">
        <f>SUM(EZ8:FK8)</f>
        <v>373832</v>
      </c>
      <c r="FM8" s="390">
        <v>32468</v>
      </c>
      <c r="FN8" s="390">
        <v>37770</v>
      </c>
      <c r="FO8" s="390">
        <v>35406</v>
      </c>
      <c r="FP8" s="390">
        <v>33098</v>
      </c>
      <c r="FQ8" s="390">
        <v>30194</v>
      </c>
      <c r="FR8" s="390">
        <v>37582</v>
      </c>
      <c r="FS8" s="390">
        <v>37403</v>
      </c>
      <c r="FT8" s="390">
        <v>35140</v>
      </c>
      <c r="FU8" s="390">
        <v>38748</v>
      </c>
      <c r="FV8" s="390">
        <v>39288</v>
      </c>
      <c r="FW8" s="390">
        <v>37775</v>
      </c>
      <c r="FX8" s="390">
        <v>36796</v>
      </c>
      <c r="FY8" s="365">
        <f>SUM(FM8:FX8)</f>
        <v>431668</v>
      </c>
      <c r="FZ8" s="390">
        <v>31811</v>
      </c>
      <c r="GA8" s="390">
        <v>35658</v>
      </c>
      <c r="GB8" s="390">
        <v>35614</v>
      </c>
      <c r="GC8" s="390">
        <v>33157</v>
      </c>
      <c r="GD8" s="414">
        <v>30836</v>
      </c>
      <c r="GE8" s="414">
        <v>34267</v>
      </c>
      <c r="GF8" s="414">
        <v>33944</v>
      </c>
      <c r="GG8" s="414">
        <v>25706</v>
      </c>
      <c r="GH8" s="414">
        <v>30204</v>
      </c>
      <c r="GI8" s="414">
        <v>30050</v>
      </c>
      <c r="GJ8" s="414">
        <v>28971</v>
      </c>
      <c r="GK8" s="414">
        <v>27940</v>
      </c>
      <c r="GL8" s="365">
        <f>SUM(FZ8:GK8)</f>
        <v>378158</v>
      </c>
      <c r="GM8" s="390">
        <v>25781</v>
      </c>
      <c r="GN8" s="390">
        <v>28994</v>
      </c>
      <c r="GO8" s="390">
        <v>29706</v>
      </c>
      <c r="GP8" s="390">
        <v>31339</v>
      </c>
      <c r="GQ8" s="390">
        <v>29131</v>
      </c>
      <c r="GR8" s="390">
        <v>30182</v>
      </c>
      <c r="GS8" s="390">
        <v>32157</v>
      </c>
      <c r="GT8" s="390">
        <v>25534</v>
      </c>
      <c r="GU8" s="390">
        <v>30839</v>
      </c>
      <c r="GV8" s="390">
        <v>32302</v>
      </c>
      <c r="GW8" s="390">
        <v>31885</v>
      </c>
      <c r="GX8" s="390">
        <v>30073</v>
      </c>
      <c r="GY8" s="365">
        <f>SUM(GM8:GX8)</f>
        <v>357923</v>
      </c>
      <c r="GZ8" s="390">
        <v>29865.7</v>
      </c>
      <c r="HA8" s="390">
        <v>32138.6</v>
      </c>
      <c r="HB8" s="390">
        <v>33508</v>
      </c>
      <c r="HC8" s="390">
        <v>35002</v>
      </c>
      <c r="HD8" s="390">
        <v>32752.5</v>
      </c>
      <c r="HE8" s="390">
        <v>36420.300000000003</v>
      </c>
      <c r="HF8" s="390">
        <v>36126</v>
      </c>
      <c r="HG8" s="390">
        <v>29909.4</v>
      </c>
      <c r="HH8" s="390">
        <v>37085.1</v>
      </c>
      <c r="HI8" s="390">
        <v>37450.6</v>
      </c>
      <c r="HJ8" s="390">
        <v>35364.800000000003</v>
      </c>
      <c r="HK8" s="390">
        <v>34287.199999999997</v>
      </c>
      <c r="HL8" s="365">
        <f>SUM(GZ8:HK8)</f>
        <v>409910.19999999995</v>
      </c>
      <c r="HM8" s="390">
        <v>32527</v>
      </c>
      <c r="HN8" s="425">
        <v>34295</v>
      </c>
      <c r="HO8" s="306">
        <v>35877.1</v>
      </c>
      <c r="HP8" s="425">
        <v>34534.699999999997</v>
      </c>
      <c r="HQ8" s="432">
        <v>31584.2</v>
      </c>
      <c r="HR8" s="432">
        <v>34701.5</v>
      </c>
      <c r="HS8" s="432">
        <v>36209.4</v>
      </c>
      <c r="HT8" s="432">
        <v>29119.1</v>
      </c>
      <c r="HU8" s="432">
        <v>35519.4</v>
      </c>
      <c r="HV8" s="432">
        <v>35564.559999999998</v>
      </c>
      <c r="HW8" s="432">
        <v>34111.5</v>
      </c>
      <c r="HX8" s="432">
        <v>31864.3</v>
      </c>
      <c r="HY8" s="456">
        <f>SUM(HM8:HX8)</f>
        <v>405907.76</v>
      </c>
      <c r="HZ8" s="432">
        <v>30101.9</v>
      </c>
      <c r="IA8" s="432">
        <v>33958.199999999997</v>
      </c>
      <c r="IB8" s="432">
        <v>35628.9</v>
      </c>
      <c r="IC8" s="432">
        <v>33636</v>
      </c>
      <c r="ID8" s="432">
        <v>29638.2</v>
      </c>
      <c r="IE8" s="432">
        <v>35093.15</v>
      </c>
      <c r="IF8" s="432">
        <v>33304.6</v>
      </c>
      <c r="IG8" s="432">
        <v>30115.4</v>
      </c>
      <c r="IH8" s="432">
        <v>35551.020000000004</v>
      </c>
      <c r="II8" s="432">
        <v>35430.699999999997</v>
      </c>
      <c r="IJ8" s="469">
        <v>36730.400000000001</v>
      </c>
      <c r="IK8" s="469">
        <f>'[1]３地区計'!N4</f>
        <v>34600.1</v>
      </c>
      <c r="IL8" s="470">
        <f>SUM(HZ8:IK8)</f>
        <v>403788.57</v>
      </c>
      <c r="IM8" s="432">
        <v>32160</v>
      </c>
      <c r="IN8" s="503">
        <v>35281</v>
      </c>
      <c r="IO8" s="503">
        <v>38087</v>
      </c>
      <c r="IP8" s="503">
        <v>34793</v>
      </c>
      <c r="IQ8" s="503">
        <v>31820</v>
      </c>
      <c r="IR8" s="503">
        <v>37006</v>
      </c>
      <c r="IS8" s="503">
        <v>37531</v>
      </c>
      <c r="IT8" s="503">
        <v>31513</v>
      </c>
      <c r="IU8" s="503">
        <v>34350</v>
      </c>
      <c r="IV8" s="503">
        <v>38386</v>
      </c>
      <c r="IW8" s="517">
        <v>40520</v>
      </c>
      <c r="IX8" s="503">
        <v>36327</v>
      </c>
      <c r="IY8" s="466">
        <f>SUM(IM8:IX8)</f>
        <v>427774</v>
      </c>
      <c r="IZ8" s="503">
        <v>32253</v>
      </c>
      <c r="JA8" s="503">
        <v>35766</v>
      </c>
      <c r="JB8" s="503">
        <v>40664</v>
      </c>
      <c r="JC8" s="503">
        <v>40293</v>
      </c>
      <c r="JD8" s="503">
        <v>37106</v>
      </c>
      <c r="JE8" s="503">
        <v>41311</v>
      </c>
      <c r="JF8" s="503">
        <v>40231</v>
      </c>
      <c r="JG8" s="503">
        <v>33694</v>
      </c>
      <c r="JH8" s="503">
        <v>37777</v>
      </c>
      <c r="JI8" s="503">
        <v>41977</v>
      </c>
      <c r="JJ8" s="503">
        <v>37246</v>
      </c>
      <c r="JK8" s="503">
        <v>37458</v>
      </c>
      <c r="JL8" s="512">
        <f>SUM(IZ8:JK8)</f>
        <v>455776</v>
      </c>
      <c r="JM8" s="503">
        <v>33946</v>
      </c>
      <c r="JN8" s="503">
        <v>39293</v>
      </c>
    </row>
    <row r="9" spans="1:274" ht="13.5" customHeight="1" thickBot="1" x14ac:dyDescent="0.35">
      <c r="A9" s="550"/>
      <c r="B9" s="43" t="s">
        <v>102</v>
      </c>
      <c r="C9" s="173"/>
      <c r="D9" s="174">
        <f t="shared" ref="D9:N9" si="89">(D8/C8-1)*100</f>
        <v>7.0853146461443695</v>
      </c>
      <c r="E9" s="174">
        <f t="shared" si="89"/>
        <v>-2.3329105150972307</v>
      </c>
      <c r="F9" s="174">
        <f t="shared" si="89"/>
        <v>-17.872683905594588</v>
      </c>
      <c r="G9" s="174">
        <f t="shared" si="89"/>
        <v>-5.0355288807529153</v>
      </c>
      <c r="H9" s="174">
        <f t="shared" si="89"/>
        <v>-5.0126548750698996</v>
      </c>
      <c r="I9" s="174">
        <f t="shared" si="89"/>
        <v>-0.57241117557299548</v>
      </c>
      <c r="J9" s="174">
        <f t="shared" si="89"/>
        <v>-11.272630955719675</v>
      </c>
      <c r="K9" s="174">
        <f t="shared" si="89"/>
        <v>2.0665414039955365</v>
      </c>
      <c r="L9" s="174">
        <f t="shared" si="89"/>
        <v>-18.586466251652368</v>
      </c>
      <c r="M9" s="174">
        <f t="shared" si="89"/>
        <v>-2.5358898860258328</v>
      </c>
      <c r="N9" s="174">
        <f t="shared" si="89"/>
        <v>12.694959598733746</v>
      </c>
      <c r="O9" s="175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7"/>
      <c r="AA9" s="174">
        <f t="shared" ref="AA9:AL9" si="90">(AA8/O8-1)*100</f>
        <v>12.980164489598444</v>
      </c>
      <c r="AB9" s="174">
        <f t="shared" si="90"/>
        <v>12.34329797492768</v>
      </c>
      <c r="AC9" s="174">
        <f t="shared" si="90"/>
        <v>14.249070155187882</v>
      </c>
      <c r="AD9" s="174">
        <f t="shared" si="90"/>
        <v>8.9757733551034882</v>
      </c>
      <c r="AE9" s="174">
        <f t="shared" si="90"/>
        <v>19.067608276951951</v>
      </c>
      <c r="AF9" s="174">
        <f t="shared" si="90"/>
        <v>20.153722405934403</v>
      </c>
      <c r="AG9" s="174">
        <f t="shared" si="90"/>
        <v>12.482189888174089</v>
      </c>
      <c r="AH9" s="174">
        <f t="shared" si="90"/>
        <v>13.226310555476628</v>
      </c>
      <c r="AI9" s="174">
        <f t="shared" si="90"/>
        <v>10.46248111465502</v>
      </c>
      <c r="AJ9" s="174">
        <f t="shared" si="90"/>
        <v>14.091680814940588</v>
      </c>
      <c r="AK9" s="174">
        <f t="shared" si="90"/>
        <v>6.5031863749860142</v>
      </c>
      <c r="AL9" s="178">
        <f t="shared" si="90"/>
        <v>9.9863366018325017</v>
      </c>
      <c r="AM9" s="174">
        <f>(AM8/N8-1)*100</f>
        <v>-8.5915203909521782</v>
      </c>
      <c r="AN9" s="179">
        <f t="shared" ref="AN9:AY9" si="91">(AN8/AA8-1)*100</f>
        <v>1.9783325482807257</v>
      </c>
      <c r="AO9" s="174">
        <f t="shared" si="91"/>
        <v>4.5883730003901668</v>
      </c>
      <c r="AP9" s="178">
        <f t="shared" si="91"/>
        <v>0.78581050740906822</v>
      </c>
      <c r="AQ9" s="174">
        <f t="shared" si="91"/>
        <v>2.6159141526624907</v>
      </c>
      <c r="AR9" s="174">
        <f t="shared" si="91"/>
        <v>-6.2795520530900095</v>
      </c>
      <c r="AS9" s="180">
        <f t="shared" si="91"/>
        <v>-9.6027967866706305</v>
      </c>
      <c r="AT9" s="174">
        <f t="shared" si="91"/>
        <v>-14.34822662367573</v>
      </c>
      <c r="AU9" s="180">
        <f t="shared" si="91"/>
        <v>-12.902551233793391</v>
      </c>
      <c r="AV9" s="174">
        <f t="shared" si="91"/>
        <v>-13.240378405075791</v>
      </c>
      <c r="AW9" s="180">
        <f t="shared" si="91"/>
        <v>-18.094529478458053</v>
      </c>
      <c r="AX9" s="174">
        <f t="shared" si="91"/>
        <v>-16.834628035551823</v>
      </c>
      <c r="AY9" s="181">
        <f t="shared" si="91"/>
        <v>-18.140962402718408</v>
      </c>
      <c r="AZ9" s="182">
        <f t="shared" ref="AZ9:BL9" si="92">(AZ8/AM8-1)*100</f>
        <v>0.22240853712012232</v>
      </c>
      <c r="BA9" s="225">
        <f t="shared" si="92"/>
        <v>-16.439218979634685</v>
      </c>
      <c r="BB9" s="184">
        <f t="shared" si="92"/>
        <v>-13.422368126538831</v>
      </c>
      <c r="BC9" s="184">
        <f t="shared" si="92"/>
        <v>-15.35976832256627</v>
      </c>
      <c r="BD9" s="184">
        <f t="shared" si="92"/>
        <v>-10.784894045223158</v>
      </c>
      <c r="BE9" s="184">
        <f t="shared" si="92"/>
        <v>-7.3774119313152813</v>
      </c>
      <c r="BF9" s="184">
        <f t="shared" si="92"/>
        <v>-2.8799473381058149E-2</v>
      </c>
      <c r="BG9" s="184">
        <f t="shared" si="92"/>
        <v>13.220399749036481</v>
      </c>
      <c r="BH9" s="184">
        <f t="shared" si="92"/>
        <v>1.7623049219687825</v>
      </c>
      <c r="BI9" s="184">
        <f t="shared" si="92"/>
        <v>10.26887370818006</v>
      </c>
      <c r="BJ9" s="184">
        <f t="shared" si="92"/>
        <v>16.29536704589696</v>
      </c>
      <c r="BK9" s="184">
        <f t="shared" si="92"/>
        <v>13.779610384146078</v>
      </c>
      <c r="BL9" s="184">
        <f t="shared" si="92"/>
        <v>17.795929298339573</v>
      </c>
      <c r="BM9" s="185">
        <f t="shared" ref="BM9:BX9" si="93">(BM8/BA8-1)*100</f>
        <v>19.195979899497484</v>
      </c>
      <c r="BN9" s="185">
        <f t="shared" si="93"/>
        <v>18.946053085143056</v>
      </c>
      <c r="BO9" s="185">
        <f t="shared" si="93"/>
        <v>24.893626354344867</v>
      </c>
      <c r="BP9" s="185">
        <f t="shared" si="93"/>
        <v>24.982307147912252</v>
      </c>
      <c r="BQ9" s="185">
        <f t="shared" si="93"/>
        <v>28.615796263557748</v>
      </c>
      <c r="BR9" s="185">
        <f t="shared" si="93"/>
        <v>36.417136507675217</v>
      </c>
      <c r="BS9" s="185">
        <f t="shared" si="93"/>
        <v>28.233850538315398</v>
      </c>
      <c r="BT9" s="185">
        <f t="shared" si="93"/>
        <v>26.127784069460169</v>
      </c>
      <c r="BU9" s="185">
        <f t="shared" si="93"/>
        <v>26.595448949604862</v>
      </c>
      <c r="BV9" s="185">
        <f t="shared" si="93"/>
        <v>24.189108763576851</v>
      </c>
      <c r="BW9" s="185">
        <f t="shared" si="93"/>
        <v>19.980031062791205</v>
      </c>
      <c r="BX9" s="185">
        <f t="shared" si="93"/>
        <v>21.268614300329645</v>
      </c>
      <c r="BY9" s="182">
        <f>(BY8/AZ8-1)*100</f>
        <v>24.944083725651488</v>
      </c>
      <c r="BZ9" s="184">
        <f t="shared" ref="BZ9:CK9" si="94">(BZ8/BM8-1)*100</f>
        <v>23.279932546374372</v>
      </c>
      <c r="CA9" s="184">
        <f t="shared" si="94"/>
        <v>21.894584314435782</v>
      </c>
      <c r="CB9" s="184">
        <f t="shared" si="94"/>
        <v>31.311463894352354</v>
      </c>
      <c r="CC9" s="184">
        <f t="shared" si="94"/>
        <v>21.47862400906002</v>
      </c>
      <c r="CD9" s="184">
        <f t="shared" si="94"/>
        <v>17.798499145553158</v>
      </c>
      <c r="CE9" s="186">
        <f t="shared" si="94"/>
        <v>10.175576203692538</v>
      </c>
      <c r="CF9" s="186">
        <f t="shared" si="94"/>
        <v>14.171065222088464</v>
      </c>
      <c r="CG9" s="186">
        <f t="shared" si="94"/>
        <v>23.207003629017176</v>
      </c>
      <c r="CH9" s="186">
        <f t="shared" si="94"/>
        <v>19.220151828847488</v>
      </c>
      <c r="CI9" s="186">
        <f t="shared" si="94"/>
        <v>15.299368017491833</v>
      </c>
      <c r="CJ9" s="186">
        <f t="shared" si="94"/>
        <v>24.912929573123744</v>
      </c>
      <c r="CK9" s="340">
        <f t="shared" si="94"/>
        <v>20.916135483064615</v>
      </c>
      <c r="CL9" s="338">
        <f t="shared" ref="CL9:EL9" si="95">(CL8/BY8-1)*100</f>
        <v>20.035914488778815</v>
      </c>
      <c r="CM9" s="269">
        <f t="shared" si="95"/>
        <v>17.861295397031675</v>
      </c>
      <c r="CN9" s="270">
        <f t="shared" si="95"/>
        <v>10.784867306606438</v>
      </c>
      <c r="CO9" s="270">
        <f t="shared" si="95"/>
        <v>5.7854334394308093</v>
      </c>
      <c r="CP9" s="357">
        <f t="shared" si="95"/>
        <v>12.227239621267305</v>
      </c>
      <c r="CQ9" s="357">
        <f t="shared" si="95"/>
        <v>9.9813932952789397</v>
      </c>
      <c r="CR9" s="357">
        <f t="shared" si="95"/>
        <v>10.035322143424331</v>
      </c>
      <c r="CS9" s="357">
        <f t="shared" si="95"/>
        <v>7.5321725965177944</v>
      </c>
      <c r="CT9" s="357">
        <f t="shared" si="95"/>
        <v>11.326369488643273</v>
      </c>
      <c r="CU9" s="357">
        <f t="shared" si="95"/>
        <v>10.414419155374288</v>
      </c>
      <c r="CV9" s="357">
        <f t="shared" si="95"/>
        <v>8.3699181711910597</v>
      </c>
      <c r="CW9" s="357">
        <f t="shared" si="95"/>
        <v>3.9232135807343083</v>
      </c>
      <c r="CX9" s="349">
        <f t="shared" si="95"/>
        <v>6.3775905731562332</v>
      </c>
      <c r="CY9" s="338">
        <f t="shared" si="95"/>
        <v>9.2877363884811039</v>
      </c>
      <c r="CZ9" s="357">
        <f t="shared" si="95"/>
        <v>10.117510517916717</v>
      </c>
      <c r="DA9" s="357">
        <f t="shared" si="95"/>
        <v>7.6398948441440018</v>
      </c>
      <c r="DB9" s="357">
        <f t="shared" si="95"/>
        <v>10.601769911504434</v>
      </c>
      <c r="DC9" s="357">
        <f t="shared" si="95"/>
        <v>5.9109080525413971</v>
      </c>
      <c r="DD9" s="357">
        <f t="shared" si="95"/>
        <v>7.3579170728909737</v>
      </c>
      <c r="DE9" s="357">
        <f t="shared" si="95"/>
        <v>3.0732095754740563</v>
      </c>
      <c r="DF9" s="357">
        <f t="shared" si="95"/>
        <v>0.7215769095388902</v>
      </c>
      <c r="DG9" s="357">
        <f t="shared" si="95"/>
        <v>0.54006873602094885</v>
      </c>
      <c r="DH9" s="357">
        <f t="shared" si="95"/>
        <v>-1.2082072301789704</v>
      </c>
      <c r="DI9" s="357">
        <f t="shared" si="95"/>
        <v>0.92048805043507542</v>
      </c>
      <c r="DJ9" s="357">
        <f t="shared" si="95"/>
        <v>-0.62206182629754858</v>
      </c>
      <c r="DK9" s="357">
        <f t="shared" si="95"/>
        <v>4.6761890880824053</v>
      </c>
      <c r="DL9" s="338">
        <f t="shared" si="95"/>
        <v>3.9786450269606588</v>
      </c>
      <c r="DM9" s="357">
        <f t="shared" si="95"/>
        <v>-2.2423060708263054</v>
      </c>
      <c r="DN9" s="357">
        <f t="shared" si="95"/>
        <v>3.8902457259632151</v>
      </c>
      <c r="DO9" s="357">
        <f t="shared" si="95"/>
        <v>-0.4983654527581538</v>
      </c>
      <c r="DP9" s="357">
        <f t="shared" si="95"/>
        <v>3.183901566214864</v>
      </c>
      <c r="DQ9" s="357">
        <f t="shared" si="95"/>
        <v>11.431623931623935</v>
      </c>
      <c r="DR9" s="357">
        <f t="shared" si="95"/>
        <v>6.0862847347963545</v>
      </c>
      <c r="DS9" s="357">
        <f t="shared" si="95"/>
        <v>12.366141634008132</v>
      </c>
      <c r="DT9" s="357">
        <f t="shared" si="95"/>
        <v>5.7596310363537739</v>
      </c>
      <c r="DU9" s="357">
        <f t="shared" si="95"/>
        <v>4.1441528367425651</v>
      </c>
      <c r="DV9" s="357">
        <f t="shared" si="95"/>
        <v>9.1114225315313213</v>
      </c>
      <c r="DW9" s="357">
        <f t="shared" si="95"/>
        <v>7.2582186544342564</v>
      </c>
      <c r="DX9" s="270">
        <f t="shared" si="95"/>
        <v>-5.1054744610246061E-2</v>
      </c>
      <c r="DY9" s="383">
        <f t="shared" si="95"/>
        <v>4.9781682706723673</v>
      </c>
      <c r="DZ9" s="387">
        <f t="shared" si="95"/>
        <v>1.8543974555941922</v>
      </c>
      <c r="EA9" s="387">
        <f t="shared" si="95"/>
        <v>8.6429822246743662</v>
      </c>
      <c r="EB9" s="387">
        <f t="shared" si="95"/>
        <v>6.8167719701321072</v>
      </c>
      <c r="EC9" s="387">
        <f t="shared" si="95"/>
        <v>8.6678702076108181</v>
      </c>
      <c r="ED9" s="387">
        <f t="shared" si="95"/>
        <v>-1.0834132310642342</v>
      </c>
      <c r="EE9" s="387">
        <f t="shared" si="95"/>
        <v>0.59624049883937325</v>
      </c>
      <c r="EF9" s="387">
        <f t="shared" si="95"/>
        <v>2.6391202932355862</v>
      </c>
      <c r="EG9" s="387">
        <f t="shared" si="95"/>
        <v>-1.5186106764487062</v>
      </c>
      <c r="EH9" s="387">
        <f t="shared" si="95"/>
        <v>0.99828600546625346</v>
      </c>
      <c r="EI9" s="387">
        <f t="shared" si="95"/>
        <v>-4.7347454121949628</v>
      </c>
      <c r="EJ9" s="387">
        <f t="shared" si="95"/>
        <v>-12.282264890631268</v>
      </c>
      <c r="EK9" s="387">
        <f t="shared" si="95"/>
        <v>-28.238408135782123</v>
      </c>
      <c r="EL9" s="383">
        <f t="shared" si="95"/>
        <v>-1.586047012100289</v>
      </c>
      <c r="EM9" s="387">
        <f t="shared" ref="EM9:EX9" si="96">(EM8/DZ8-1)*100</f>
        <v>-44.928418322792353</v>
      </c>
      <c r="EN9" s="387">
        <f t="shared" si="96"/>
        <v>-55.489070434974607</v>
      </c>
      <c r="EO9" s="387">
        <f t="shared" si="96"/>
        <v>-58.786457885227563</v>
      </c>
      <c r="EP9" s="387">
        <f t="shared" si="96"/>
        <v>-60.377729687192605</v>
      </c>
      <c r="EQ9" s="387">
        <f t="shared" si="96"/>
        <v>-54.078220412910724</v>
      </c>
      <c r="ER9" s="387">
        <f t="shared" si="96"/>
        <v>-54.074291919283326</v>
      </c>
      <c r="ES9" s="387">
        <f t="shared" si="96"/>
        <v>-55.199878795749193</v>
      </c>
      <c r="ET9" s="387">
        <f t="shared" si="96"/>
        <v>-51.298481414914953</v>
      </c>
      <c r="EU9" s="387">
        <f t="shared" si="96"/>
        <v>-49.042540993005389</v>
      </c>
      <c r="EV9" s="387">
        <f t="shared" si="96"/>
        <v>-45.957680179150863</v>
      </c>
      <c r="EW9" s="387">
        <f t="shared" si="96"/>
        <v>-37.298120873539865</v>
      </c>
      <c r="EX9" s="387">
        <f t="shared" si="96"/>
        <v>-17.927977480829583</v>
      </c>
      <c r="EY9" s="383">
        <f t="shared" ref="EY9:FL9" si="97">(EY8/EL8-1)*100</f>
        <v>-49.73878712940175</v>
      </c>
      <c r="EZ9" s="387">
        <f t="shared" si="97"/>
        <v>8.3849887078948591</v>
      </c>
      <c r="FA9" s="387">
        <f t="shared" si="97"/>
        <v>30.517386775137645</v>
      </c>
      <c r="FB9" s="387">
        <f t="shared" si="97"/>
        <v>54.971034914670412</v>
      </c>
      <c r="FC9" s="387">
        <f t="shared" si="97"/>
        <v>68.001765419838904</v>
      </c>
      <c r="FD9" s="387">
        <f t="shared" si="97"/>
        <v>47.986913619334068</v>
      </c>
      <c r="FE9" s="387">
        <f t="shared" si="97"/>
        <v>68.395645534702723</v>
      </c>
      <c r="FF9" s="387">
        <f t="shared" si="97"/>
        <v>63.215614280883138</v>
      </c>
      <c r="FG9" s="387">
        <f t="shared" si="97"/>
        <v>56.90217681981067</v>
      </c>
      <c r="FH9" s="387">
        <f t="shared" si="97"/>
        <v>51.008100810081004</v>
      </c>
      <c r="FI9" s="387">
        <f t="shared" si="97"/>
        <v>44.473572938689209</v>
      </c>
      <c r="FJ9" s="387">
        <f t="shared" si="97"/>
        <v>50.198444840434142</v>
      </c>
      <c r="FK9" s="387">
        <f t="shared" si="97"/>
        <v>36.635654025072938</v>
      </c>
      <c r="FL9" s="383">
        <f t="shared" si="97"/>
        <v>47.857281288439403</v>
      </c>
      <c r="FM9" s="387">
        <f t="shared" ref="FM9:FX9" si="98">(FM8/EZ8-1)*100</f>
        <v>43.943961695336057</v>
      </c>
      <c r="FN9" s="387">
        <f t="shared" si="98"/>
        <v>43.552126487020651</v>
      </c>
      <c r="FO9" s="387">
        <f t="shared" si="98"/>
        <v>19.236209335219236</v>
      </c>
      <c r="FP9" s="387">
        <f t="shared" si="98"/>
        <v>8.6890844607907525</v>
      </c>
      <c r="FQ9" s="387">
        <f t="shared" si="98"/>
        <v>7.6626849705830002</v>
      </c>
      <c r="FR9" s="387">
        <f t="shared" si="98"/>
        <v>9.9338910665184521</v>
      </c>
      <c r="FS9" s="387">
        <f t="shared" si="98"/>
        <v>10.712171442102768</v>
      </c>
      <c r="FT9" s="387">
        <f t="shared" si="98"/>
        <v>19.784565039541867</v>
      </c>
      <c r="FU9" s="387">
        <f t="shared" si="98"/>
        <v>15.479525540919115</v>
      </c>
      <c r="FV9" s="387">
        <f t="shared" si="98"/>
        <v>14.984781081713884</v>
      </c>
      <c r="FW9" s="387">
        <f t="shared" si="98"/>
        <v>1.8550974735082271</v>
      </c>
      <c r="FX9" s="387">
        <f t="shared" si="98"/>
        <v>6.1657866643584747</v>
      </c>
      <c r="FY9" s="383">
        <f t="shared" ref="FY9:GZ9" si="99">(FY8/FL8-1)*100</f>
        <v>15.471120717327569</v>
      </c>
      <c r="FZ9" s="387">
        <f t="shared" si="99"/>
        <v>-2.023530861155598</v>
      </c>
      <c r="GA9" s="387">
        <f t="shared" si="99"/>
        <v>-5.5917394757744265</v>
      </c>
      <c r="GB9" s="387">
        <f t="shared" si="99"/>
        <v>0.5874710501045044</v>
      </c>
      <c r="GC9" s="387">
        <f t="shared" si="99"/>
        <v>0.17825850504562535</v>
      </c>
      <c r="GD9" s="411">
        <f t="shared" si="99"/>
        <v>2.126250248393724</v>
      </c>
      <c r="GE9" s="411">
        <f t="shared" si="99"/>
        <v>-8.8207120429993129</v>
      </c>
      <c r="GF9" s="411">
        <f t="shared" si="99"/>
        <v>-9.2479212897361158</v>
      </c>
      <c r="GG9" s="411">
        <f t="shared" si="99"/>
        <v>-26.846898121798525</v>
      </c>
      <c r="GH9" s="411">
        <f t="shared" si="99"/>
        <v>-22.050170331371945</v>
      </c>
      <c r="GI9" s="411">
        <f t="shared" si="99"/>
        <v>-23.513541030340058</v>
      </c>
      <c r="GJ9" s="411">
        <f t="shared" si="99"/>
        <v>-23.306419589675709</v>
      </c>
      <c r="GK9" s="411">
        <f t="shared" si="99"/>
        <v>-24.067833460158717</v>
      </c>
      <c r="GL9" s="383">
        <f t="shared" si="99"/>
        <v>-12.396100707024848</v>
      </c>
      <c r="GM9" s="387">
        <f t="shared" si="99"/>
        <v>-18.955707145327082</v>
      </c>
      <c r="GN9" s="387">
        <f t="shared" si="99"/>
        <v>-18.688653317628578</v>
      </c>
      <c r="GO9" s="387">
        <f t="shared" si="99"/>
        <v>-16.588981861065875</v>
      </c>
      <c r="GP9" s="387">
        <f t="shared" si="99"/>
        <v>-5.483005096962934</v>
      </c>
      <c r="GQ9" s="387">
        <f t="shared" si="99"/>
        <v>-5.5292515241925022</v>
      </c>
      <c r="GR9" s="387">
        <f t="shared" si="99"/>
        <v>-11.921090261767887</v>
      </c>
      <c r="GS9" s="387">
        <f t="shared" si="99"/>
        <v>-5.2645533820410044</v>
      </c>
      <c r="GT9" s="387">
        <f t="shared" si="99"/>
        <v>-0.66910448922430366</v>
      </c>
      <c r="GU9" s="387">
        <f t="shared" si="99"/>
        <v>2.1023705469474185</v>
      </c>
      <c r="GV9" s="387">
        <f t="shared" si="99"/>
        <v>7.4941763727121469</v>
      </c>
      <c r="GW9" s="387">
        <f t="shared" si="99"/>
        <v>10.058334196265228</v>
      </c>
      <c r="GX9" s="387">
        <f t="shared" si="99"/>
        <v>7.6342161775232675</v>
      </c>
      <c r="GY9" s="383">
        <f t="shared" si="99"/>
        <v>-5.3509379677277753</v>
      </c>
      <c r="GZ9" s="387">
        <f t="shared" si="99"/>
        <v>15.843838485706542</v>
      </c>
      <c r="HA9" s="387">
        <f t="shared" ref="HA9:HF9" si="100">(HA8/GN8-1)*100</f>
        <v>10.845692212181834</v>
      </c>
      <c r="HB9" s="387">
        <f t="shared" si="100"/>
        <v>12.798761193024987</v>
      </c>
      <c r="HC9" s="387">
        <f t="shared" si="100"/>
        <v>11.688311688311682</v>
      </c>
      <c r="HD9" s="387">
        <f t="shared" si="100"/>
        <v>12.431773711853356</v>
      </c>
      <c r="HE9" s="387">
        <f t="shared" si="100"/>
        <v>20.668941753362937</v>
      </c>
      <c r="HF9" s="387">
        <f t="shared" si="100"/>
        <v>12.34256926952142</v>
      </c>
      <c r="HG9" s="387">
        <f t="shared" ref="HG9:HY9" si="101">(HG8/GT8-1)*100</f>
        <v>17.135583927312602</v>
      </c>
      <c r="HH9" s="387">
        <f t="shared" si="101"/>
        <v>20.253899283374931</v>
      </c>
      <c r="HI9" s="387">
        <f t="shared" si="101"/>
        <v>15.938951148535697</v>
      </c>
      <c r="HJ9" s="387">
        <f t="shared" si="101"/>
        <v>10.913595734671478</v>
      </c>
      <c r="HK9" s="387">
        <f t="shared" si="101"/>
        <v>14.013234462807155</v>
      </c>
      <c r="HL9" s="383">
        <f t="shared" si="101"/>
        <v>14.524688270940933</v>
      </c>
      <c r="HM9" s="387">
        <f t="shared" si="101"/>
        <v>8.9108910891089188</v>
      </c>
      <c r="HN9" s="269">
        <f t="shared" si="101"/>
        <v>6.709688660987112</v>
      </c>
      <c r="HO9" s="411">
        <f t="shared" si="101"/>
        <v>7.0702518801480263</v>
      </c>
      <c r="HP9" s="269">
        <f t="shared" si="101"/>
        <v>-1.3350665676247209</v>
      </c>
      <c r="HQ9" s="411">
        <f t="shared" si="101"/>
        <v>-3.567055949927489</v>
      </c>
      <c r="HR9" s="411">
        <f t="shared" si="101"/>
        <v>-4.7193460789724533</v>
      </c>
      <c r="HS9" s="411">
        <f t="shared" si="101"/>
        <v>0.23085866135192923</v>
      </c>
      <c r="HT9" s="411">
        <f t="shared" si="101"/>
        <v>-2.6423131189525773</v>
      </c>
      <c r="HU9" s="411">
        <f t="shared" si="101"/>
        <v>-4.2219112258022662</v>
      </c>
      <c r="HV9" s="411">
        <f t="shared" si="101"/>
        <v>-5.0360741883975209</v>
      </c>
      <c r="HW9" s="411">
        <f t="shared" si="101"/>
        <v>-3.5439193774600808</v>
      </c>
      <c r="HX9" s="411">
        <f t="shared" si="101"/>
        <v>-7.0664854522970666</v>
      </c>
      <c r="HY9" s="459">
        <f t="shared" si="101"/>
        <v>-0.97641873756738606</v>
      </c>
      <c r="HZ9" s="411">
        <f t="shared" ref="HZ9" si="102">(HZ8/HM8-1)*100</f>
        <v>-7.4556522273803267</v>
      </c>
      <c r="IA9" s="411">
        <f t="shared" ref="IA9" si="103">(IA8/HN8-1)*100</f>
        <v>-0.98206735675755441</v>
      </c>
      <c r="IB9" s="411">
        <f t="shared" ref="IB9" si="104">(IB8/HO8-1)*100</f>
        <v>-0.69180619392313902</v>
      </c>
      <c r="IC9" s="411">
        <f t="shared" ref="IC9" si="105">(IC8/HP8-1)*100</f>
        <v>-2.6023101402357529</v>
      </c>
      <c r="ID9" s="411">
        <f t="shared" ref="ID9" si="106">(ID8/HQ8-1)*100</f>
        <v>-6.1613085023524476</v>
      </c>
      <c r="IE9" s="411">
        <f t="shared" ref="IE9" si="107">(IE8/HR8-1)*100</f>
        <v>1.1286255637364517</v>
      </c>
      <c r="IF9" s="411">
        <f t="shared" ref="IF9" si="108">(IF8/HS8-1)*100</f>
        <v>-8.0222262727358213</v>
      </c>
      <c r="IG9" s="411">
        <f t="shared" ref="IG9" si="109">(IG8/HT8-1)*100</f>
        <v>3.4214656359571549</v>
      </c>
      <c r="IH9" s="411">
        <f t="shared" ref="IH9" si="110">(IH8/HU8-1)*100</f>
        <v>8.9021774016462274E-2</v>
      </c>
      <c r="II9" s="411">
        <f t="shared" ref="II9" si="111">(II8/HV8-1)*100</f>
        <v>-0.3763859302631678</v>
      </c>
      <c r="IJ9" s="411">
        <f t="shared" ref="IJ9" si="112">(IJ8/HW8-1)*100</f>
        <v>7.6774694751037043</v>
      </c>
      <c r="IK9" s="411">
        <f t="shared" ref="IK9" si="113">(IK8/HX8-1)*100</f>
        <v>8.5857840906594429</v>
      </c>
      <c r="IL9" s="464">
        <f t="shared" ref="IL9" si="114">(IL8/HY8-1)*100</f>
        <v>-0.52208659425481141</v>
      </c>
      <c r="IM9" s="411">
        <f>(IM8/HZ8-1)*100</f>
        <v>6.8371099498702792</v>
      </c>
      <c r="IN9" s="501">
        <f>(IN8/IA8-1)*100</f>
        <v>3.8953772579229939</v>
      </c>
      <c r="IO9" s="501">
        <f t="shared" ref="IO9:IX9" si="115">(IO8/IB8-1)*100</f>
        <v>6.8991745465057708</v>
      </c>
      <c r="IP9" s="501">
        <f t="shared" si="115"/>
        <v>3.4397669163990896</v>
      </c>
      <c r="IQ9" s="501">
        <f t="shared" si="115"/>
        <v>7.3614457018307489</v>
      </c>
      <c r="IR9" s="501">
        <f t="shared" si="115"/>
        <v>5.4507788557025982</v>
      </c>
      <c r="IS9" s="501">
        <f t="shared" si="115"/>
        <v>12.690138899731584</v>
      </c>
      <c r="IT9" s="501">
        <f t="shared" si="115"/>
        <v>4.6408149983065083</v>
      </c>
      <c r="IU9" s="501">
        <f t="shared" si="115"/>
        <v>-3.3782996943547694</v>
      </c>
      <c r="IV9" s="501">
        <f t="shared" si="115"/>
        <v>8.3410714436914937</v>
      </c>
      <c r="IW9" s="501">
        <f t="shared" si="115"/>
        <v>10.317339315662233</v>
      </c>
      <c r="IX9" s="501">
        <f t="shared" si="115"/>
        <v>4.991026037497015</v>
      </c>
      <c r="IY9" s="464">
        <f>(IY8/IL8-1)*100</f>
        <v>5.9400963231821979</v>
      </c>
      <c r="IZ9" s="501">
        <f>(IZ8/IM8-1)*100</f>
        <v>0.28917910447761042</v>
      </c>
      <c r="JA9" s="501">
        <f>(JA8/IN8-1)*100</f>
        <v>1.3746775885037366</v>
      </c>
      <c r="JB9" s="501">
        <f t="shared" ref="JB9:JK9" si="116">(JB8/IO8-1)*100</f>
        <v>6.7660881665660089</v>
      </c>
      <c r="JC9" s="501">
        <f t="shared" si="116"/>
        <v>15.807777426493841</v>
      </c>
      <c r="JD9" s="501">
        <f t="shared" si="116"/>
        <v>16.612193588937775</v>
      </c>
      <c r="JE9" s="501">
        <f t="shared" si="116"/>
        <v>11.633248662379071</v>
      </c>
      <c r="JF9" s="501">
        <f t="shared" si="116"/>
        <v>7.1940529162558997</v>
      </c>
      <c r="JG9" s="501">
        <f t="shared" si="116"/>
        <v>6.9209532573858423</v>
      </c>
      <c r="JH9" s="501">
        <f t="shared" si="116"/>
        <v>9.9767103347889297</v>
      </c>
      <c r="JI9" s="501">
        <f t="shared" si="116"/>
        <v>9.3549731673005851</v>
      </c>
      <c r="JJ9" s="501">
        <f t="shared" si="116"/>
        <v>-8.0799605133267569</v>
      </c>
      <c r="JK9" s="501">
        <f t="shared" si="116"/>
        <v>3.1133867371376578</v>
      </c>
      <c r="JL9" s="523">
        <f>(JL8/IY8-1)*100</f>
        <v>6.5459798865756147</v>
      </c>
      <c r="JM9" s="501">
        <f t="shared" ref="JM9:JN29" si="117">(JM8/IZ8-1)*100</f>
        <v>5.2491241124856591</v>
      </c>
      <c r="JN9" s="564">
        <f>(JN8/JA8-1)*100</f>
        <v>9.8613208074707757</v>
      </c>
    </row>
    <row r="10" spans="1:274" ht="13.5" customHeight="1" x14ac:dyDescent="0.3">
      <c r="A10" s="544"/>
      <c r="B10" s="45" t="s">
        <v>103</v>
      </c>
      <c r="C10" s="187">
        <v>9818</v>
      </c>
      <c r="D10" s="188">
        <v>10713</v>
      </c>
      <c r="E10" s="189">
        <v>11129</v>
      </c>
      <c r="F10" s="188">
        <v>9508</v>
      </c>
      <c r="G10" s="189">
        <v>8613</v>
      </c>
      <c r="H10" s="188">
        <v>8231</v>
      </c>
      <c r="I10" s="189">
        <v>8336</v>
      </c>
      <c r="J10" s="188">
        <v>7540</v>
      </c>
      <c r="K10" s="189">
        <v>8005</v>
      </c>
      <c r="L10" s="188">
        <v>6670</v>
      </c>
      <c r="M10" s="190">
        <v>6195</v>
      </c>
      <c r="N10" s="191">
        <f>SUM(AA10:AL10)</f>
        <v>6735</v>
      </c>
      <c r="O10" s="189">
        <v>461</v>
      </c>
      <c r="P10" s="188">
        <v>515</v>
      </c>
      <c r="Q10" s="188">
        <v>545</v>
      </c>
      <c r="R10" s="188">
        <v>505</v>
      </c>
      <c r="S10" s="188">
        <v>462</v>
      </c>
      <c r="T10" s="188">
        <v>511</v>
      </c>
      <c r="U10" s="188">
        <v>521</v>
      </c>
      <c r="V10" s="188">
        <v>462</v>
      </c>
      <c r="W10" s="188">
        <v>537</v>
      </c>
      <c r="X10" s="188">
        <v>549</v>
      </c>
      <c r="Y10" s="188">
        <v>579</v>
      </c>
      <c r="Z10" s="188">
        <v>548</v>
      </c>
      <c r="AA10" s="189">
        <v>506</v>
      </c>
      <c r="AB10" s="188">
        <v>558</v>
      </c>
      <c r="AC10" s="189">
        <v>583</v>
      </c>
      <c r="AD10" s="188">
        <v>555</v>
      </c>
      <c r="AE10" s="189">
        <v>528</v>
      </c>
      <c r="AF10" s="188">
        <v>589</v>
      </c>
      <c r="AG10" s="189">
        <v>578</v>
      </c>
      <c r="AH10" s="188">
        <v>514</v>
      </c>
      <c r="AI10" s="189">
        <v>580</v>
      </c>
      <c r="AJ10" s="188">
        <v>520</v>
      </c>
      <c r="AK10" s="189">
        <v>620</v>
      </c>
      <c r="AL10" s="188">
        <v>604</v>
      </c>
      <c r="AM10" s="189">
        <f>SUM(AN10:AY10)</f>
        <v>6340</v>
      </c>
      <c r="AN10" s="226">
        <v>527</v>
      </c>
      <c r="AO10" s="189">
        <v>586</v>
      </c>
      <c r="AP10" s="227">
        <v>594</v>
      </c>
      <c r="AQ10" s="194">
        <v>575</v>
      </c>
      <c r="AR10" s="194">
        <v>495</v>
      </c>
      <c r="AS10" s="194">
        <v>540</v>
      </c>
      <c r="AT10" s="194">
        <v>520</v>
      </c>
      <c r="AU10" s="194">
        <v>448</v>
      </c>
      <c r="AV10" s="194">
        <v>511</v>
      </c>
      <c r="AW10" s="194">
        <v>521</v>
      </c>
      <c r="AX10" s="194">
        <v>533</v>
      </c>
      <c r="AY10" s="195">
        <v>490</v>
      </c>
      <c r="AZ10" s="196">
        <f>SUM(BA10:BL10)</f>
        <v>6134</v>
      </c>
      <c r="BA10" s="228">
        <v>439</v>
      </c>
      <c r="BB10" s="198">
        <v>502</v>
      </c>
      <c r="BC10" s="198">
        <v>501</v>
      </c>
      <c r="BD10" s="198">
        <v>494</v>
      </c>
      <c r="BE10" s="198">
        <v>446</v>
      </c>
      <c r="BF10" s="198">
        <v>519</v>
      </c>
      <c r="BG10" s="198">
        <v>543</v>
      </c>
      <c r="BH10" s="198">
        <v>458</v>
      </c>
      <c r="BI10" s="198">
        <v>534</v>
      </c>
      <c r="BJ10" s="198">
        <v>567</v>
      </c>
      <c r="BK10" s="198">
        <v>571</v>
      </c>
      <c r="BL10" s="198">
        <v>560</v>
      </c>
      <c r="BM10" s="199">
        <v>509</v>
      </c>
      <c r="BN10" s="199">
        <v>577</v>
      </c>
      <c r="BO10" s="199">
        <v>585</v>
      </c>
      <c r="BP10" s="199">
        <v>569</v>
      </c>
      <c r="BQ10" s="199">
        <v>531</v>
      </c>
      <c r="BR10" s="199">
        <v>632</v>
      </c>
      <c r="BS10" s="199">
        <v>608</v>
      </c>
      <c r="BT10" s="199">
        <v>524</v>
      </c>
      <c r="BU10" s="199">
        <v>624</v>
      </c>
      <c r="BV10" s="199">
        <v>671</v>
      </c>
      <c r="BW10" s="199">
        <v>628</v>
      </c>
      <c r="BX10" s="199">
        <v>637</v>
      </c>
      <c r="BY10" s="168">
        <f>SUM(BM10:BX10)</f>
        <v>7095</v>
      </c>
      <c r="BZ10" s="198">
        <v>613</v>
      </c>
      <c r="CA10" s="198">
        <v>662</v>
      </c>
      <c r="CB10" s="198">
        <v>716</v>
      </c>
      <c r="CC10" s="198">
        <v>669</v>
      </c>
      <c r="CD10" s="229">
        <v>627</v>
      </c>
      <c r="CE10" s="230">
        <v>715</v>
      </c>
      <c r="CF10" s="231">
        <v>721</v>
      </c>
      <c r="CG10" s="231">
        <v>641</v>
      </c>
      <c r="CH10" s="231">
        <v>734</v>
      </c>
      <c r="CI10" s="231">
        <v>758</v>
      </c>
      <c r="CJ10" s="236">
        <v>793.10799999999995</v>
      </c>
      <c r="CK10" s="343">
        <v>761</v>
      </c>
      <c r="CL10" s="347">
        <f>SUM(BZ10:CK10)</f>
        <v>8410.1080000000002</v>
      </c>
      <c r="CM10" s="277">
        <v>685</v>
      </c>
      <c r="CN10" s="278">
        <v>756</v>
      </c>
      <c r="CO10" s="278">
        <v>816</v>
      </c>
      <c r="CP10" s="361">
        <v>773</v>
      </c>
      <c r="CQ10" s="361">
        <v>711</v>
      </c>
      <c r="CR10" s="361">
        <v>797</v>
      </c>
      <c r="CS10" s="361">
        <v>797</v>
      </c>
      <c r="CT10" s="361">
        <v>750</v>
      </c>
      <c r="CU10" s="361">
        <v>838</v>
      </c>
      <c r="CV10" s="361">
        <v>866</v>
      </c>
      <c r="CW10" s="361">
        <v>861</v>
      </c>
      <c r="CX10" s="353">
        <v>878</v>
      </c>
      <c r="CY10" s="347">
        <f>SUM(CM10:CX10)</f>
        <v>9528</v>
      </c>
      <c r="CZ10" s="361">
        <v>808</v>
      </c>
      <c r="DA10" s="361">
        <v>880</v>
      </c>
      <c r="DB10" s="361">
        <v>960</v>
      </c>
      <c r="DC10" s="361">
        <v>885</v>
      </c>
      <c r="DD10" s="361">
        <v>833</v>
      </c>
      <c r="DE10" s="361">
        <v>905</v>
      </c>
      <c r="DF10" s="361">
        <v>886</v>
      </c>
      <c r="DG10" s="361">
        <v>816</v>
      </c>
      <c r="DH10" s="361">
        <v>913</v>
      </c>
      <c r="DI10" s="361">
        <v>945</v>
      </c>
      <c r="DJ10" s="361">
        <v>935</v>
      </c>
      <c r="DK10" s="361">
        <v>924</v>
      </c>
      <c r="DL10" s="347">
        <f>SUM(CZ10:DK10)</f>
        <v>10690</v>
      </c>
      <c r="DM10" s="361">
        <v>807</v>
      </c>
      <c r="DN10" s="361">
        <v>908</v>
      </c>
      <c r="DO10" s="361">
        <v>934</v>
      </c>
      <c r="DP10" s="361">
        <v>879</v>
      </c>
      <c r="DQ10" s="361">
        <v>867</v>
      </c>
      <c r="DR10" s="361">
        <v>907</v>
      </c>
      <c r="DS10" s="361">
        <v>935</v>
      </c>
      <c r="DT10" s="361">
        <v>809</v>
      </c>
      <c r="DU10" s="361">
        <v>915</v>
      </c>
      <c r="DV10" s="361">
        <v>986</v>
      </c>
      <c r="DW10" s="361">
        <v>937</v>
      </c>
      <c r="DX10" s="278">
        <v>898</v>
      </c>
      <c r="DY10" s="347">
        <f>SUM(DM10:DX10)</f>
        <v>10782</v>
      </c>
      <c r="DZ10" s="391">
        <v>798</v>
      </c>
      <c r="EA10" s="391">
        <v>960</v>
      </c>
      <c r="EB10" s="391">
        <v>986</v>
      </c>
      <c r="EC10" s="391">
        <v>961</v>
      </c>
      <c r="ED10" s="391">
        <v>887</v>
      </c>
      <c r="EE10" s="391">
        <v>953</v>
      </c>
      <c r="EF10" s="391">
        <v>990</v>
      </c>
      <c r="EG10" s="391">
        <v>807</v>
      </c>
      <c r="EH10" s="391">
        <v>941</v>
      </c>
      <c r="EI10" s="391">
        <v>938</v>
      </c>
      <c r="EJ10" s="391">
        <v>848</v>
      </c>
      <c r="EK10" s="391">
        <v>676</v>
      </c>
      <c r="EL10" s="347">
        <f>SUM(DZ10:EK10)</f>
        <v>10745</v>
      </c>
      <c r="EM10" s="391">
        <v>464</v>
      </c>
      <c r="EN10" s="391">
        <v>437</v>
      </c>
      <c r="EO10" s="391">
        <v>432</v>
      </c>
      <c r="EP10" s="391">
        <v>419.56400000000002</v>
      </c>
      <c r="EQ10" s="391">
        <v>399.47399999999999</v>
      </c>
      <c r="ER10" s="391">
        <v>465.17899999999997</v>
      </c>
      <c r="ES10" s="391">
        <v>469.85300000000001</v>
      </c>
      <c r="ET10" s="391">
        <v>421.10899999999998</v>
      </c>
      <c r="EU10" s="391">
        <v>487.10500000000002</v>
      </c>
      <c r="EV10" s="391">
        <v>551.79100000000005</v>
      </c>
      <c r="EW10" s="391">
        <v>580.00099999999998</v>
      </c>
      <c r="EX10" s="391">
        <v>597.84299999999996</v>
      </c>
      <c r="EY10" s="347">
        <f>SUM(EM10:EX10)</f>
        <v>5724.9189999999999</v>
      </c>
      <c r="EZ10" s="391">
        <v>537.92100000000005</v>
      </c>
      <c r="FA10" s="391">
        <v>613.572</v>
      </c>
      <c r="FB10" s="391">
        <v>671.06399999999996</v>
      </c>
      <c r="FC10" s="391">
        <v>693.31</v>
      </c>
      <c r="FD10" s="391">
        <v>599.94200000000001</v>
      </c>
      <c r="FE10" s="391">
        <v>723.32899999999995</v>
      </c>
      <c r="FF10" s="391">
        <v>733.59500000000003</v>
      </c>
      <c r="FG10" s="391">
        <v>639.20500000000004</v>
      </c>
      <c r="FH10" s="391">
        <v>734.88300000000004</v>
      </c>
      <c r="FI10" s="391">
        <v>757.27499999999998</v>
      </c>
      <c r="FJ10" s="391">
        <v>806.04700000000003</v>
      </c>
      <c r="FK10" s="391">
        <v>748.048</v>
      </c>
      <c r="FL10" s="347">
        <f>SUM(EZ10:FK10)</f>
        <v>8258.1910000000007</v>
      </c>
      <c r="FM10" s="391">
        <v>716.83</v>
      </c>
      <c r="FN10" s="391">
        <v>795.32600000000002</v>
      </c>
      <c r="FO10" s="391">
        <v>765.00199999999995</v>
      </c>
      <c r="FP10" s="391">
        <v>722.88400000000001</v>
      </c>
      <c r="FQ10" s="391">
        <v>663.197</v>
      </c>
      <c r="FR10" s="391">
        <v>807.00099999999998</v>
      </c>
      <c r="FS10" s="391">
        <v>815.51099999999997</v>
      </c>
      <c r="FT10" s="391">
        <v>822.40899999999999</v>
      </c>
      <c r="FU10" s="391">
        <v>867.12400000000002</v>
      </c>
      <c r="FV10" s="391">
        <v>860.50800000000004</v>
      </c>
      <c r="FW10" s="391">
        <v>809.02300000000002</v>
      </c>
      <c r="FX10" s="391">
        <v>780.32399999999996</v>
      </c>
      <c r="FY10" s="347">
        <f>SUM(FM10:FX10)</f>
        <v>9425.1389999999992</v>
      </c>
      <c r="FZ10" s="391">
        <v>685.58799999999997</v>
      </c>
      <c r="GA10" s="391">
        <v>780.16600000000005</v>
      </c>
      <c r="GB10" s="391">
        <v>767.58</v>
      </c>
      <c r="GC10" s="391">
        <v>734.02200000000005</v>
      </c>
      <c r="GD10" s="415">
        <v>707.89800000000002</v>
      </c>
      <c r="GE10" s="415">
        <v>770.94899999999996</v>
      </c>
      <c r="GF10" s="415">
        <v>767.01199999999994</v>
      </c>
      <c r="GG10" s="415">
        <v>592.51599999999996</v>
      </c>
      <c r="GH10" s="415">
        <v>670.74099999999999</v>
      </c>
      <c r="GI10" s="415">
        <v>672.65700000000004</v>
      </c>
      <c r="GJ10" s="415">
        <v>665.60699999999997</v>
      </c>
      <c r="GK10" s="415">
        <v>628.59100000000001</v>
      </c>
      <c r="GL10" s="347">
        <f>SUM(FZ10:GK10)</f>
        <v>8443.3269999999993</v>
      </c>
      <c r="GM10" s="391">
        <v>592.57600000000002</v>
      </c>
      <c r="GN10" s="391">
        <v>667.12199999999996</v>
      </c>
      <c r="GO10" s="391">
        <v>681.50599999999997</v>
      </c>
      <c r="GP10" s="391">
        <v>704.23900000000003</v>
      </c>
      <c r="GQ10" s="391">
        <v>667.43100000000004</v>
      </c>
      <c r="GR10" s="391">
        <v>690.96699999999998</v>
      </c>
      <c r="GS10" s="391">
        <v>734.05200000000002</v>
      </c>
      <c r="GT10" s="391">
        <v>604.80499999999995</v>
      </c>
      <c r="GU10" s="391">
        <v>725.48800000000006</v>
      </c>
      <c r="GV10" s="391">
        <v>745.19</v>
      </c>
      <c r="GW10" s="391">
        <v>730.78800000000001</v>
      </c>
      <c r="GX10" s="391">
        <v>705.64800000000002</v>
      </c>
      <c r="GY10" s="347">
        <f>SUM(GM10:GX10)</f>
        <v>8249.8119999999999</v>
      </c>
      <c r="GZ10" s="391">
        <v>722.42399999999998</v>
      </c>
      <c r="HA10" s="391">
        <v>765.88</v>
      </c>
      <c r="HB10" s="391">
        <v>764.90300000000002</v>
      </c>
      <c r="HC10" s="391">
        <v>805.03700000000003</v>
      </c>
      <c r="HD10" s="391">
        <v>767.97299999999996</v>
      </c>
      <c r="HE10" s="391">
        <v>843.71699999999998</v>
      </c>
      <c r="HF10" s="391">
        <v>830.62199999999996</v>
      </c>
      <c r="HG10" s="391">
        <v>697.31700000000001</v>
      </c>
      <c r="HH10" s="391">
        <v>888.14200000000005</v>
      </c>
      <c r="HI10" s="391">
        <v>852.56500000000005</v>
      </c>
      <c r="HJ10" s="391">
        <v>795.697</v>
      </c>
      <c r="HK10" s="391">
        <v>784.21299999999997</v>
      </c>
      <c r="HL10" s="347">
        <f>SUM(GZ10:HK10)</f>
        <v>9518.49</v>
      </c>
      <c r="HM10" s="391">
        <v>746.505</v>
      </c>
      <c r="HN10" s="426">
        <v>819.71</v>
      </c>
      <c r="HO10" s="429">
        <v>838.00699999999995</v>
      </c>
      <c r="HP10" s="426">
        <v>833.72</v>
      </c>
      <c r="HQ10" s="433">
        <v>742.40200000000004</v>
      </c>
      <c r="HR10" s="433">
        <v>796.28899999999999</v>
      </c>
      <c r="HS10" s="433">
        <v>843.85699999999997</v>
      </c>
      <c r="HT10" s="433">
        <v>683.78099999999995</v>
      </c>
      <c r="HU10" s="433">
        <v>837.17899999999997</v>
      </c>
      <c r="HV10" s="433">
        <v>823.88499999999999</v>
      </c>
      <c r="HW10" s="433">
        <v>785.57899999999995</v>
      </c>
      <c r="HX10" s="433">
        <v>728.58199999999999</v>
      </c>
      <c r="HY10" s="458">
        <f>SUM(HM10:HX10)</f>
        <v>9479.496000000001</v>
      </c>
      <c r="HZ10" s="467">
        <v>717306</v>
      </c>
      <c r="IA10" s="467">
        <v>794476</v>
      </c>
      <c r="IB10" s="467">
        <v>838550</v>
      </c>
      <c r="IC10" s="467">
        <v>791395</v>
      </c>
      <c r="ID10" s="467">
        <v>695697</v>
      </c>
      <c r="IE10" s="467">
        <v>813702</v>
      </c>
      <c r="IF10" s="467">
        <v>760174</v>
      </c>
      <c r="IG10" s="467">
        <v>688422</v>
      </c>
      <c r="IH10" s="467">
        <v>819429</v>
      </c>
      <c r="II10" s="467">
        <v>821860</v>
      </c>
      <c r="IJ10" s="467">
        <v>844038</v>
      </c>
      <c r="IK10" s="467">
        <v>780801</v>
      </c>
      <c r="IL10" s="468">
        <f>SUM(HZ10:IK10)</f>
        <v>9365850</v>
      </c>
      <c r="IM10" s="467">
        <v>715112</v>
      </c>
      <c r="IN10" s="467">
        <v>814007</v>
      </c>
      <c r="IO10" s="467">
        <v>868871</v>
      </c>
      <c r="IP10" s="467">
        <v>800662</v>
      </c>
      <c r="IQ10" s="467">
        <v>743555</v>
      </c>
      <c r="IR10" s="467">
        <v>861414</v>
      </c>
      <c r="IS10" s="467">
        <v>876890</v>
      </c>
      <c r="IT10" s="467">
        <v>732566</v>
      </c>
      <c r="IU10" s="467">
        <v>826621</v>
      </c>
      <c r="IV10" s="467">
        <v>869670</v>
      </c>
      <c r="IW10" s="467">
        <v>921662</v>
      </c>
      <c r="IX10" s="467">
        <v>852210</v>
      </c>
      <c r="IY10" s="468">
        <f>SUM(IM10:IX10)</f>
        <v>9883240</v>
      </c>
      <c r="IZ10" s="467">
        <v>761453</v>
      </c>
      <c r="JA10" s="467">
        <v>849206</v>
      </c>
      <c r="JB10" s="467">
        <v>964650</v>
      </c>
      <c r="JC10" s="467">
        <v>942158</v>
      </c>
      <c r="JD10" s="467">
        <v>869513</v>
      </c>
      <c r="JE10" s="467">
        <v>961576</v>
      </c>
      <c r="JF10" s="520">
        <v>936</v>
      </c>
      <c r="JG10" s="520">
        <v>792</v>
      </c>
      <c r="JH10" s="520">
        <v>896</v>
      </c>
      <c r="JI10" s="520">
        <v>995</v>
      </c>
      <c r="JJ10" s="520">
        <v>903</v>
      </c>
      <c r="JK10" s="522">
        <v>877</v>
      </c>
      <c r="JL10" s="524">
        <v>10748</v>
      </c>
      <c r="JM10" s="522">
        <v>794</v>
      </c>
      <c r="JN10" s="565">
        <v>927</v>
      </c>
    </row>
    <row r="11" spans="1:274" ht="13.5" customHeight="1" thickBot="1" x14ac:dyDescent="0.35">
      <c r="A11" s="551"/>
      <c r="B11" s="44" t="s">
        <v>102</v>
      </c>
      <c r="C11" s="201"/>
      <c r="D11" s="202">
        <f t="shared" ref="D11:N11" si="118">(D10/C10-1)*100</f>
        <v>9.1159095538806199</v>
      </c>
      <c r="E11" s="202">
        <f t="shared" si="118"/>
        <v>3.8831326425837753</v>
      </c>
      <c r="F11" s="202">
        <f t="shared" si="118"/>
        <v>-14.565549465360771</v>
      </c>
      <c r="G11" s="202">
        <f t="shared" si="118"/>
        <v>-9.4131257888094293</v>
      </c>
      <c r="H11" s="202">
        <f t="shared" si="118"/>
        <v>-4.4351561592940953</v>
      </c>
      <c r="I11" s="202">
        <f t="shared" si="118"/>
        <v>1.2756651682663156</v>
      </c>
      <c r="J11" s="202">
        <f t="shared" si="118"/>
        <v>-9.5489443378119034</v>
      </c>
      <c r="K11" s="202">
        <f t="shared" si="118"/>
        <v>6.1671087533156532</v>
      </c>
      <c r="L11" s="202">
        <f t="shared" si="118"/>
        <v>-16.677076826983139</v>
      </c>
      <c r="M11" s="202">
        <f t="shared" si="118"/>
        <v>-7.1214392803598203</v>
      </c>
      <c r="N11" s="202">
        <f t="shared" si="118"/>
        <v>8.7167070217917697</v>
      </c>
      <c r="O11" s="203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5"/>
      <c r="AA11" s="202">
        <f t="shared" ref="AA11:AL11" si="119">(AA10/O10-1)*100</f>
        <v>9.7613882863340606</v>
      </c>
      <c r="AB11" s="202">
        <f t="shared" si="119"/>
        <v>8.3495145631067977</v>
      </c>
      <c r="AC11" s="202">
        <f t="shared" si="119"/>
        <v>6.9724770642201728</v>
      </c>
      <c r="AD11" s="202">
        <f t="shared" si="119"/>
        <v>9.9009900990099098</v>
      </c>
      <c r="AE11" s="202">
        <f t="shared" si="119"/>
        <v>14.285714285714279</v>
      </c>
      <c r="AF11" s="202">
        <f t="shared" si="119"/>
        <v>15.264187866927603</v>
      </c>
      <c r="AG11" s="202">
        <f t="shared" si="119"/>
        <v>10.940499040307095</v>
      </c>
      <c r="AH11" s="202">
        <f t="shared" si="119"/>
        <v>11.255411255411252</v>
      </c>
      <c r="AI11" s="202">
        <f t="shared" si="119"/>
        <v>8.0074487895716917</v>
      </c>
      <c r="AJ11" s="202">
        <f t="shared" si="119"/>
        <v>-5.2823315118397112</v>
      </c>
      <c r="AK11" s="202">
        <f t="shared" si="119"/>
        <v>7.0811744386873876</v>
      </c>
      <c r="AL11" s="206">
        <f t="shared" si="119"/>
        <v>10.218978102189791</v>
      </c>
      <c r="AM11" s="202">
        <f>(AM10/N10-1)*100</f>
        <v>-5.8648849294729022</v>
      </c>
      <c r="AN11" s="207">
        <f t="shared" ref="AN11:AY11" si="120">(AN10/AA10-1)*100</f>
        <v>4.1501976284584963</v>
      </c>
      <c r="AO11" s="202">
        <f t="shared" si="120"/>
        <v>5.017921146953408</v>
      </c>
      <c r="AP11" s="206">
        <f t="shared" si="120"/>
        <v>1.8867924528301883</v>
      </c>
      <c r="AQ11" s="202">
        <f t="shared" si="120"/>
        <v>3.6036036036036112</v>
      </c>
      <c r="AR11" s="202">
        <f t="shared" si="120"/>
        <v>-6.25</v>
      </c>
      <c r="AS11" s="208">
        <f t="shared" si="120"/>
        <v>-8.3191850594227503</v>
      </c>
      <c r="AT11" s="202">
        <f t="shared" si="120"/>
        <v>-10.034602076124566</v>
      </c>
      <c r="AU11" s="208">
        <f t="shared" si="120"/>
        <v>-12.840466926070038</v>
      </c>
      <c r="AV11" s="202">
        <f t="shared" si="120"/>
        <v>-11.896551724137927</v>
      </c>
      <c r="AW11" s="208">
        <f t="shared" si="120"/>
        <v>0.19230769230769162</v>
      </c>
      <c r="AX11" s="202">
        <f t="shared" si="120"/>
        <v>-14.032258064516135</v>
      </c>
      <c r="AY11" s="209">
        <f t="shared" si="120"/>
        <v>-18.87417218543046</v>
      </c>
      <c r="AZ11" s="210">
        <f t="shared" ref="AZ11:BL11" si="121">(AZ10/AM10-1)*100</f>
        <v>-3.2492113564668745</v>
      </c>
      <c r="BA11" s="232">
        <f t="shared" si="121"/>
        <v>-16.698292220113853</v>
      </c>
      <c r="BB11" s="215">
        <f t="shared" si="121"/>
        <v>-14.334470989761094</v>
      </c>
      <c r="BC11" s="215">
        <f t="shared" si="121"/>
        <v>-15.656565656565657</v>
      </c>
      <c r="BD11" s="215">
        <f t="shared" si="121"/>
        <v>-14.086956521739136</v>
      </c>
      <c r="BE11" s="215">
        <f t="shared" si="121"/>
        <v>-9.8989898989898961</v>
      </c>
      <c r="BF11" s="215">
        <f t="shared" si="121"/>
        <v>-3.8888888888888862</v>
      </c>
      <c r="BG11" s="215">
        <f t="shared" si="121"/>
        <v>4.4230769230769296</v>
      </c>
      <c r="BH11" s="215">
        <f t="shared" si="121"/>
        <v>2.2321428571428603</v>
      </c>
      <c r="BI11" s="215">
        <f t="shared" si="121"/>
        <v>4.5009784735812186</v>
      </c>
      <c r="BJ11" s="215">
        <f t="shared" si="121"/>
        <v>8.8291746641074873</v>
      </c>
      <c r="BK11" s="215">
        <f t="shared" si="121"/>
        <v>7.129455909943716</v>
      </c>
      <c r="BL11" s="215">
        <f t="shared" si="121"/>
        <v>14.285714285714279</v>
      </c>
      <c r="BM11" s="233">
        <f t="shared" ref="BM11:BX11" si="122">(BM10/BA10-1)*100</f>
        <v>15.945330296127569</v>
      </c>
      <c r="BN11" s="233">
        <f t="shared" si="122"/>
        <v>14.940239043824711</v>
      </c>
      <c r="BO11" s="233">
        <f t="shared" si="122"/>
        <v>16.766467065868262</v>
      </c>
      <c r="BP11" s="233">
        <f t="shared" si="122"/>
        <v>15.182186234817818</v>
      </c>
      <c r="BQ11" s="233">
        <f t="shared" si="122"/>
        <v>19.058295964125559</v>
      </c>
      <c r="BR11" s="233">
        <f t="shared" si="122"/>
        <v>21.772639691714836</v>
      </c>
      <c r="BS11" s="233">
        <f t="shared" si="122"/>
        <v>11.970534069981586</v>
      </c>
      <c r="BT11" s="233">
        <f t="shared" si="122"/>
        <v>14.410480349344979</v>
      </c>
      <c r="BU11" s="233">
        <f t="shared" si="122"/>
        <v>16.853932584269661</v>
      </c>
      <c r="BV11" s="233">
        <f t="shared" si="122"/>
        <v>18.342151675485006</v>
      </c>
      <c r="BW11" s="233">
        <f t="shared" si="122"/>
        <v>9.9824868651488643</v>
      </c>
      <c r="BX11" s="233">
        <f t="shared" si="122"/>
        <v>13.749999999999996</v>
      </c>
      <c r="BY11" s="210">
        <f>(BY10/AZ10-1)*100</f>
        <v>15.666775350505379</v>
      </c>
      <c r="BZ11" s="212">
        <f t="shared" ref="BZ11:CK11" si="123">(BZ10/BM10-1)*100</f>
        <v>20.432220039292726</v>
      </c>
      <c r="CA11" s="212">
        <f t="shared" si="123"/>
        <v>14.731369150779905</v>
      </c>
      <c r="CB11" s="212">
        <f t="shared" si="123"/>
        <v>22.393162393162402</v>
      </c>
      <c r="CC11" s="212">
        <f t="shared" si="123"/>
        <v>17.574692442882256</v>
      </c>
      <c r="CD11" s="212">
        <f t="shared" si="123"/>
        <v>18.079096045197751</v>
      </c>
      <c r="CE11" s="217">
        <f t="shared" si="123"/>
        <v>13.132911392405067</v>
      </c>
      <c r="CF11" s="217">
        <f t="shared" si="123"/>
        <v>18.585526315789469</v>
      </c>
      <c r="CG11" s="217">
        <f t="shared" si="123"/>
        <v>22.328244274809151</v>
      </c>
      <c r="CH11" s="217">
        <f t="shared" si="123"/>
        <v>17.628205128205131</v>
      </c>
      <c r="CI11" s="217">
        <f t="shared" si="123"/>
        <v>12.965722801788381</v>
      </c>
      <c r="CJ11" s="217">
        <f t="shared" si="123"/>
        <v>26.29108280254777</v>
      </c>
      <c r="CK11" s="342">
        <f t="shared" si="123"/>
        <v>19.466248037676603</v>
      </c>
      <c r="CL11" s="209">
        <f t="shared" ref="CL11:EL11" si="124">(CL10/BY10-1)*100</f>
        <v>18.535701198026789</v>
      </c>
      <c r="CM11" s="273">
        <f t="shared" si="124"/>
        <v>11.745513866231638</v>
      </c>
      <c r="CN11" s="274">
        <f t="shared" si="124"/>
        <v>14.199395770392753</v>
      </c>
      <c r="CO11" s="274">
        <f t="shared" si="124"/>
        <v>13.966480446927365</v>
      </c>
      <c r="CP11" s="359">
        <f t="shared" si="124"/>
        <v>15.545590433482804</v>
      </c>
      <c r="CQ11" s="359">
        <f t="shared" si="124"/>
        <v>13.397129186602875</v>
      </c>
      <c r="CR11" s="359">
        <f t="shared" si="124"/>
        <v>11.468531468531463</v>
      </c>
      <c r="CS11" s="359">
        <f t="shared" si="124"/>
        <v>10.540915395284323</v>
      </c>
      <c r="CT11" s="359">
        <f t="shared" si="124"/>
        <v>17.004680187207487</v>
      </c>
      <c r="CU11" s="359">
        <f t="shared" si="124"/>
        <v>14.168937329700281</v>
      </c>
      <c r="CV11" s="359">
        <f t="shared" si="124"/>
        <v>14.248021108179421</v>
      </c>
      <c r="CW11" s="359">
        <f t="shared" si="124"/>
        <v>8.5602465238025616</v>
      </c>
      <c r="CX11" s="351">
        <f t="shared" si="124"/>
        <v>15.374507227332469</v>
      </c>
      <c r="CY11" s="209">
        <f t="shared" si="124"/>
        <v>13.292243096045841</v>
      </c>
      <c r="CZ11" s="359">
        <f t="shared" si="124"/>
        <v>17.956204379562045</v>
      </c>
      <c r="DA11" s="359">
        <f t="shared" si="124"/>
        <v>16.402116402116395</v>
      </c>
      <c r="DB11" s="359">
        <f t="shared" si="124"/>
        <v>17.647058823529417</v>
      </c>
      <c r="DC11" s="359">
        <f t="shared" si="124"/>
        <v>14.489003880983176</v>
      </c>
      <c r="DD11" s="359">
        <f t="shared" si="124"/>
        <v>17.15893108298172</v>
      </c>
      <c r="DE11" s="359">
        <f t="shared" si="124"/>
        <v>13.550815558343787</v>
      </c>
      <c r="DF11" s="359">
        <f t="shared" si="124"/>
        <v>11.166875784190712</v>
      </c>
      <c r="DG11" s="359">
        <f t="shared" si="124"/>
        <v>8.8000000000000078</v>
      </c>
      <c r="DH11" s="359">
        <f t="shared" si="124"/>
        <v>8.9498806682577481</v>
      </c>
      <c r="DI11" s="359">
        <f t="shared" si="124"/>
        <v>9.1224018475750679</v>
      </c>
      <c r="DJ11" s="359">
        <f t="shared" si="124"/>
        <v>8.5946573751451751</v>
      </c>
      <c r="DK11" s="359">
        <f t="shared" si="124"/>
        <v>5.2391799544419193</v>
      </c>
      <c r="DL11" s="209">
        <f t="shared" si="124"/>
        <v>12.195633921074723</v>
      </c>
      <c r="DM11" s="359">
        <f t="shared" si="124"/>
        <v>-0.12376237623762387</v>
      </c>
      <c r="DN11" s="359">
        <f t="shared" si="124"/>
        <v>3.1818181818181746</v>
      </c>
      <c r="DO11" s="359">
        <f t="shared" si="124"/>
        <v>-2.7083333333333348</v>
      </c>
      <c r="DP11" s="359">
        <f t="shared" si="124"/>
        <v>-0.67796610169491567</v>
      </c>
      <c r="DQ11" s="359">
        <f t="shared" si="124"/>
        <v>4.081632653061229</v>
      </c>
      <c r="DR11" s="359">
        <f t="shared" si="124"/>
        <v>0.22099447513812542</v>
      </c>
      <c r="DS11" s="359">
        <f t="shared" si="124"/>
        <v>5.5304740406320496</v>
      </c>
      <c r="DT11" s="359">
        <f t="shared" si="124"/>
        <v>-0.85784313725489891</v>
      </c>
      <c r="DU11" s="359">
        <f t="shared" si="124"/>
        <v>0.21905805038335835</v>
      </c>
      <c r="DV11" s="359">
        <f t="shared" si="124"/>
        <v>4.3386243386243306</v>
      </c>
      <c r="DW11" s="359">
        <f t="shared" si="124"/>
        <v>0.21390374331551332</v>
      </c>
      <c r="DX11" s="274">
        <f t="shared" si="124"/>
        <v>-2.8138528138528129</v>
      </c>
      <c r="DY11" s="384">
        <f t="shared" si="124"/>
        <v>0.8606173994387234</v>
      </c>
      <c r="DZ11" s="389">
        <f t="shared" si="124"/>
        <v>-1.1152416356877359</v>
      </c>
      <c r="EA11" s="389">
        <f t="shared" si="124"/>
        <v>5.7268722466960353</v>
      </c>
      <c r="EB11" s="389">
        <f t="shared" si="124"/>
        <v>5.5674518201284773</v>
      </c>
      <c r="EC11" s="389">
        <f t="shared" si="124"/>
        <v>9.3287827076222953</v>
      </c>
      <c r="ED11" s="389">
        <f t="shared" si="124"/>
        <v>2.3068050749711633</v>
      </c>
      <c r="EE11" s="389">
        <f t="shared" si="124"/>
        <v>5.0716648291069477</v>
      </c>
      <c r="EF11" s="389">
        <f t="shared" si="124"/>
        <v>5.8823529411764719</v>
      </c>
      <c r="EG11" s="389">
        <f t="shared" si="124"/>
        <v>-0.24721878862793423</v>
      </c>
      <c r="EH11" s="389">
        <f t="shared" si="124"/>
        <v>2.841530054644803</v>
      </c>
      <c r="EI11" s="389">
        <f t="shared" si="124"/>
        <v>-4.8681541582150096</v>
      </c>
      <c r="EJ11" s="389">
        <f t="shared" si="124"/>
        <v>-9.4983991462113124</v>
      </c>
      <c r="EK11" s="389">
        <f t="shared" si="124"/>
        <v>-24.721603563474392</v>
      </c>
      <c r="EL11" s="384">
        <f t="shared" si="124"/>
        <v>-0.34316453348173237</v>
      </c>
      <c r="EM11" s="389">
        <f t="shared" ref="EM11:EX11" si="125">(EM10/DZ10-1)*100</f>
        <v>-41.854636591478702</v>
      </c>
      <c r="EN11" s="389">
        <f t="shared" si="125"/>
        <v>-54.479166666666664</v>
      </c>
      <c r="EO11" s="389">
        <f t="shared" si="125"/>
        <v>-56.18661257606491</v>
      </c>
      <c r="EP11" s="389">
        <f t="shared" si="125"/>
        <v>-56.340894901144644</v>
      </c>
      <c r="EQ11" s="389">
        <f t="shared" si="125"/>
        <v>-54.963472378804966</v>
      </c>
      <c r="ER11" s="389">
        <f t="shared" si="125"/>
        <v>-51.18793284365163</v>
      </c>
      <c r="ES11" s="389">
        <f t="shared" si="125"/>
        <v>-52.540101010101004</v>
      </c>
      <c r="ET11" s="389">
        <f t="shared" si="125"/>
        <v>-47.817967781908301</v>
      </c>
      <c r="EU11" s="389">
        <f t="shared" si="125"/>
        <v>-48.235387885228477</v>
      </c>
      <c r="EV11" s="389">
        <f t="shared" si="125"/>
        <v>-41.173667377398715</v>
      </c>
      <c r="EW11" s="389">
        <f t="shared" si="125"/>
        <v>-31.60365566037736</v>
      </c>
      <c r="EX11" s="389">
        <f t="shared" si="125"/>
        <v>-11.561686390532556</v>
      </c>
      <c r="EY11" s="384">
        <f t="shared" ref="EY11:FX11" si="126">(EY10/EL10-1)*100</f>
        <v>-46.720158213122389</v>
      </c>
      <c r="EZ11" s="389">
        <f t="shared" si="126"/>
        <v>15.93125000000002</v>
      </c>
      <c r="FA11" s="389">
        <f t="shared" si="126"/>
        <v>40.405491990846684</v>
      </c>
      <c r="FB11" s="389">
        <f t="shared" si="126"/>
        <v>55.338888888888874</v>
      </c>
      <c r="FC11" s="389">
        <f t="shared" si="126"/>
        <v>65.24534993469409</v>
      </c>
      <c r="FD11" s="389">
        <f t="shared" si="126"/>
        <v>50.182990632681992</v>
      </c>
      <c r="FE11" s="389">
        <f t="shared" si="126"/>
        <v>55.49476653073333</v>
      </c>
      <c r="FF11" s="389">
        <f t="shared" si="126"/>
        <v>56.132875601517917</v>
      </c>
      <c r="FG11" s="389">
        <f t="shared" si="126"/>
        <v>51.790866497747622</v>
      </c>
      <c r="FH11" s="389">
        <f t="shared" si="126"/>
        <v>50.867472105603518</v>
      </c>
      <c r="FI11" s="389">
        <f t="shared" si="126"/>
        <v>37.239462042693681</v>
      </c>
      <c r="FJ11" s="389">
        <f t="shared" si="126"/>
        <v>38.973381080377465</v>
      </c>
      <c r="FK11" s="389">
        <f t="shared" si="126"/>
        <v>25.124489205359946</v>
      </c>
      <c r="FL11" s="384">
        <f t="shared" si="126"/>
        <v>44.249918645137186</v>
      </c>
      <c r="FM11" s="389">
        <f t="shared" si="126"/>
        <v>33.25934477367494</v>
      </c>
      <c r="FN11" s="389">
        <f t="shared" si="126"/>
        <v>29.622277418135123</v>
      </c>
      <c r="FO11" s="389">
        <f t="shared" si="126"/>
        <v>13.998366772766824</v>
      </c>
      <c r="FP11" s="389">
        <f t="shared" si="126"/>
        <v>4.2656243238955227</v>
      </c>
      <c r="FQ11" s="389">
        <f t="shared" si="126"/>
        <v>10.543519206856654</v>
      </c>
      <c r="FR11" s="389">
        <f t="shared" si="126"/>
        <v>11.567626902833993</v>
      </c>
      <c r="FS11" s="389">
        <f t="shared" si="126"/>
        <v>11.166379269215287</v>
      </c>
      <c r="FT11" s="389">
        <f t="shared" si="126"/>
        <v>28.661227618682574</v>
      </c>
      <c r="FU11" s="389">
        <f t="shared" si="126"/>
        <v>17.994837273416309</v>
      </c>
      <c r="FV11" s="389">
        <f t="shared" si="126"/>
        <v>13.63216797068436</v>
      </c>
      <c r="FW11" s="389">
        <f t="shared" si="126"/>
        <v>0.36920923965972907</v>
      </c>
      <c r="FX11" s="389">
        <f t="shared" si="126"/>
        <v>4.3146963831197871</v>
      </c>
      <c r="FY11" s="384">
        <f t="shared" ref="FY11:GZ11" si="127">(FY10/FL10-1)*100</f>
        <v>14.130794504510714</v>
      </c>
      <c r="FZ11" s="389">
        <f t="shared" si="127"/>
        <v>-4.3583555375751644</v>
      </c>
      <c r="GA11" s="389">
        <f t="shared" si="127"/>
        <v>-1.9061366031036253</v>
      </c>
      <c r="GB11" s="389">
        <f t="shared" si="127"/>
        <v>0.33699258302593016</v>
      </c>
      <c r="GC11" s="389">
        <f t="shared" si="127"/>
        <v>1.5407727934219073</v>
      </c>
      <c r="GD11" s="413">
        <f t="shared" si="127"/>
        <v>6.7402295245605703</v>
      </c>
      <c r="GE11" s="413">
        <f t="shared" si="127"/>
        <v>-4.4674046252730859</v>
      </c>
      <c r="GF11" s="413">
        <f t="shared" si="127"/>
        <v>-5.947068770378328</v>
      </c>
      <c r="GG11" s="413">
        <f t="shared" si="127"/>
        <v>-27.953609457094952</v>
      </c>
      <c r="GH11" s="413">
        <f t="shared" si="127"/>
        <v>-22.647625945078222</v>
      </c>
      <c r="GI11" s="413">
        <f t="shared" si="127"/>
        <v>-21.830244460249059</v>
      </c>
      <c r="GJ11" s="413">
        <f t="shared" si="127"/>
        <v>-17.727060911741699</v>
      </c>
      <c r="GK11" s="413">
        <f t="shared" si="127"/>
        <v>-19.444871617430703</v>
      </c>
      <c r="GL11" s="384">
        <f t="shared" si="127"/>
        <v>-10.416949818989407</v>
      </c>
      <c r="GM11" s="389">
        <f t="shared" si="127"/>
        <v>-13.566748542856633</v>
      </c>
      <c r="GN11" s="389">
        <f t="shared" si="127"/>
        <v>-14.489736799604202</v>
      </c>
      <c r="GO11" s="389">
        <f t="shared" si="127"/>
        <v>-11.213684567080961</v>
      </c>
      <c r="GP11" s="389">
        <f t="shared" si="127"/>
        <v>-4.0575078131173221</v>
      </c>
      <c r="GQ11" s="389">
        <f t="shared" si="127"/>
        <v>-5.7165015298814232</v>
      </c>
      <c r="GR11" s="389">
        <f t="shared" si="127"/>
        <v>-10.374486509483759</v>
      </c>
      <c r="GS11" s="389">
        <f t="shared" si="127"/>
        <v>-4.2971948287640727</v>
      </c>
      <c r="GT11" s="389">
        <f t="shared" si="127"/>
        <v>2.0740368192588843</v>
      </c>
      <c r="GU11" s="389">
        <f t="shared" si="127"/>
        <v>8.1621669168874469</v>
      </c>
      <c r="GV11" s="389">
        <f t="shared" si="127"/>
        <v>10.783058824928604</v>
      </c>
      <c r="GW11" s="389">
        <f t="shared" si="127"/>
        <v>9.7927155213211492</v>
      </c>
      <c r="GX11" s="389">
        <f t="shared" si="127"/>
        <v>12.258686490897897</v>
      </c>
      <c r="GY11" s="384">
        <f t="shared" si="127"/>
        <v>-2.2919282884578451</v>
      </c>
      <c r="GZ11" s="389">
        <f t="shared" si="127"/>
        <v>21.912463548979353</v>
      </c>
      <c r="HA11" s="389">
        <f t="shared" ref="HA11:HY11" si="128">(HA10/GN10-1)*100</f>
        <v>14.803589148611508</v>
      </c>
      <c r="HB11" s="389">
        <f t="shared" si="128"/>
        <v>12.23716298902724</v>
      </c>
      <c r="HC11" s="389">
        <f t="shared" si="128"/>
        <v>14.313038613311679</v>
      </c>
      <c r="HD11" s="389">
        <f t="shared" si="128"/>
        <v>15.064029090647569</v>
      </c>
      <c r="HE11" s="389">
        <f t="shared" si="128"/>
        <v>22.1066997410875</v>
      </c>
      <c r="HF11" s="389">
        <f t="shared" si="128"/>
        <v>13.155743734776282</v>
      </c>
      <c r="HG11" s="389">
        <f t="shared" si="128"/>
        <v>15.296169839865748</v>
      </c>
      <c r="HH11" s="389">
        <f t="shared" si="128"/>
        <v>22.419943541450714</v>
      </c>
      <c r="HI11" s="389">
        <f t="shared" si="128"/>
        <v>14.409076879721949</v>
      </c>
      <c r="HJ11" s="389">
        <f t="shared" si="128"/>
        <v>8.8820560819280026</v>
      </c>
      <c r="HK11" s="389">
        <f t="shared" si="128"/>
        <v>11.133738067705146</v>
      </c>
      <c r="HL11" s="384">
        <f t="shared" si="128"/>
        <v>15.378265589567363</v>
      </c>
      <c r="HM11" s="389">
        <f t="shared" si="128"/>
        <v>3.3333610179063777</v>
      </c>
      <c r="HN11" s="273">
        <f t="shared" si="128"/>
        <v>7.0285162166396908</v>
      </c>
      <c r="HO11" s="413">
        <f t="shared" si="128"/>
        <v>9.5572902707925067</v>
      </c>
      <c r="HP11" s="273">
        <f t="shared" si="128"/>
        <v>3.5629418275184843</v>
      </c>
      <c r="HQ11" s="413">
        <f t="shared" si="128"/>
        <v>-3.3296743505305426</v>
      </c>
      <c r="HR11" s="413">
        <f t="shared" si="128"/>
        <v>-5.6213161522169148</v>
      </c>
      <c r="HS11" s="413">
        <f t="shared" si="128"/>
        <v>1.5933842349468152</v>
      </c>
      <c r="HT11" s="413">
        <f t="shared" si="128"/>
        <v>-1.9411544534264968</v>
      </c>
      <c r="HU11" s="413">
        <f t="shared" si="128"/>
        <v>-5.7381589880897472</v>
      </c>
      <c r="HV11" s="413">
        <f t="shared" si="128"/>
        <v>-3.363966383794792</v>
      </c>
      <c r="HW11" s="413">
        <f t="shared" si="128"/>
        <v>-1.2715895623585438</v>
      </c>
      <c r="HX11" s="413">
        <f t="shared" si="128"/>
        <v>-7.0938635294237606</v>
      </c>
      <c r="HY11" s="460">
        <f t="shared" si="128"/>
        <v>-0.40966581884309683</v>
      </c>
      <c r="HZ11" s="413">
        <f>(717/747-1)*100</f>
        <v>-4.016064257028118</v>
      </c>
      <c r="IA11" s="413">
        <f>(794/820-1)*100</f>
        <v>-3.170731707317076</v>
      </c>
      <c r="IB11" s="413">
        <f>(839/838-1)*100</f>
        <v>0.11933174224343368</v>
      </c>
      <c r="IC11" s="413">
        <f>(791/834-1)*100</f>
        <v>-5.1558752997601935</v>
      </c>
      <c r="ID11" s="413">
        <f>(696/742-1)*100</f>
        <v>-6.199460916442046</v>
      </c>
      <c r="IE11" s="413">
        <f>(814/796-1)*100</f>
        <v>2.2613065326633208</v>
      </c>
      <c r="IF11" s="413">
        <f>(760/844-1)*100</f>
        <v>-9.952606635071092</v>
      </c>
      <c r="IG11" s="413">
        <f>(688/684-1)*100</f>
        <v>0.58479532163742132</v>
      </c>
      <c r="IH11" s="413">
        <f>(819/837-1)*100</f>
        <v>-2.1505376344086002</v>
      </c>
      <c r="II11" s="413">
        <f>(822/824-1)*100</f>
        <v>-0.24271844660194164</v>
      </c>
      <c r="IJ11" s="413">
        <f>(844/786-1)*100</f>
        <v>7.3791348600508844</v>
      </c>
      <c r="IK11" s="413">
        <f>(781/729-1)*100</f>
        <v>7.1330589849108339</v>
      </c>
      <c r="IL11" s="465">
        <f>(9366/9479-1)*100</f>
        <v>-1.1921088722439022</v>
      </c>
      <c r="IM11" s="411">
        <f>(IM10/HZ10-1)*100</f>
        <v>-0.30586667335836815</v>
      </c>
      <c r="IN11" s="502">
        <f>(IN10/IA10-1)*100</f>
        <v>2.4583499061016312</v>
      </c>
      <c r="IO11" s="502">
        <f t="shared" ref="IO11:IX11" si="129">(IO10/IB10-1)*100</f>
        <v>3.6158845626378833</v>
      </c>
      <c r="IP11" s="502">
        <f t="shared" si="129"/>
        <v>1.1709702487379792</v>
      </c>
      <c r="IQ11" s="502">
        <f t="shared" si="129"/>
        <v>6.879144225143996</v>
      </c>
      <c r="IR11" s="502">
        <f t="shared" si="129"/>
        <v>5.8635716761173073</v>
      </c>
      <c r="IS11" s="502">
        <f t="shared" si="129"/>
        <v>15.353853196768119</v>
      </c>
      <c r="IT11" s="502">
        <f t="shared" si="129"/>
        <v>6.4123459157319207</v>
      </c>
      <c r="IU11" s="502">
        <f t="shared" si="129"/>
        <v>0.87768433872854601</v>
      </c>
      <c r="IV11" s="502">
        <f t="shared" si="129"/>
        <v>5.8172924829046346</v>
      </c>
      <c r="IW11" s="502">
        <f t="shared" si="129"/>
        <v>9.1967423267672821</v>
      </c>
      <c r="IX11" s="502">
        <f t="shared" si="129"/>
        <v>9.1456081639239795</v>
      </c>
      <c r="IY11" s="465">
        <f t="shared" ref="IY11" si="130">(IY10/IL10-1)*100</f>
        <v>5.5242183037311099</v>
      </c>
      <c r="IZ11" s="502">
        <f>(IZ10/IM10-1)*100</f>
        <v>6.4802436541408825</v>
      </c>
      <c r="JA11" s="502">
        <f>(JA10/IN10-1)*100</f>
        <v>4.324164288513499</v>
      </c>
      <c r="JB11" s="502">
        <f t="shared" ref="JB11:JE11" si="131">(JB10/IO10-1)*100</f>
        <v>11.023385519829754</v>
      </c>
      <c r="JC11" s="502">
        <f t="shared" si="131"/>
        <v>17.672376108769996</v>
      </c>
      <c r="JD11" s="502">
        <f t="shared" si="131"/>
        <v>16.939970815877771</v>
      </c>
      <c r="JE11" s="502">
        <f t="shared" si="131"/>
        <v>11.627626205285724</v>
      </c>
      <c r="JF11" s="502">
        <f>(JF10/877-1)*100</f>
        <v>6.7274800456100348</v>
      </c>
      <c r="JG11" s="502">
        <f>(JG10/733-1)*100</f>
        <v>8.0491132332878514</v>
      </c>
      <c r="JH11" s="502">
        <f>((JH10/827)-1)*100</f>
        <v>8.3434099153567143</v>
      </c>
      <c r="JI11" s="502">
        <f>(JI10/870-1)*100</f>
        <v>14.367816091954033</v>
      </c>
      <c r="JJ11" s="502">
        <f>(JJ10/922-1)*100</f>
        <v>-2.0607375271149642</v>
      </c>
      <c r="JK11" s="502">
        <f>(JK10/852-1)*100</f>
        <v>2.934272300469476</v>
      </c>
      <c r="JL11" s="511">
        <f>(JL10/9883-1)*100</f>
        <v>8.7524031164626148</v>
      </c>
      <c r="JM11" s="502">
        <f>(JM10/761-1)*100</f>
        <v>4.3363994743758294</v>
      </c>
      <c r="JN11" s="566">
        <v>4.32</v>
      </c>
    </row>
    <row r="12" spans="1:274" ht="13.5" customHeight="1" x14ac:dyDescent="0.3">
      <c r="A12" s="542" t="s">
        <v>418</v>
      </c>
      <c r="B12" s="48" t="s">
        <v>108</v>
      </c>
      <c r="C12" s="218">
        <v>628560</v>
      </c>
      <c r="D12" s="191">
        <v>666303</v>
      </c>
      <c r="E12" s="218">
        <v>645115</v>
      </c>
      <c r="F12" s="191">
        <v>531653</v>
      </c>
      <c r="G12" s="218">
        <v>507670</v>
      </c>
      <c r="H12" s="191">
        <v>492726</v>
      </c>
      <c r="I12" s="218">
        <v>544335</v>
      </c>
      <c r="J12" s="191">
        <v>506931</v>
      </c>
      <c r="K12" s="218">
        <v>508906</v>
      </c>
      <c r="L12" s="191">
        <v>406012</v>
      </c>
      <c r="M12" s="219">
        <v>397729</v>
      </c>
      <c r="N12" s="191">
        <f>SUM(AA12:AL12)</f>
        <v>431058</v>
      </c>
      <c r="O12" s="220">
        <v>28667</v>
      </c>
      <c r="P12" s="221">
        <v>33591</v>
      </c>
      <c r="Q12" s="221">
        <v>34137</v>
      </c>
      <c r="R12" s="221">
        <v>32077</v>
      </c>
      <c r="S12" s="221">
        <v>29330</v>
      </c>
      <c r="T12" s="221">
        <v>32827</v>
      </c>
      <c r="U12" s="221">
        <v>33494</v>
      </c>
      <c r="V12" s="221">
        <v>28962</v>
      </c>
      <c r="W12" s="221">
        <v>35874</v>
      </c>
      <c r="X12" s="221">
        <v>35965</v>
      </c>
      <c r="Y12" s="221">
        <v>36925</v>
      </c>
      <c r="Z12" s="222">
        <v>35880</v>
      </c>
      <c r="AA12" s="191">
        <v>32592</v>
      </c>
      <c r="AB12" s="218">
        <v>37215</v>
      </c>
      <c r="AC12" s="191">
        <v>37420</v>
      </c>
      <c r="AD12" s="218">
        <v>37505</v>
      </c>
      <c r="AE12" s="191">
        <v>32817</v>
      </c>
      <c r="AF12" s="218">
        <v>38158</v>
      </c>
      <c r="AG12" s="191">
        <v>36302</v>
      </c>
      <c r="AH12" s="218">
        <v>31262</v>
      </c>
      <c r="AI12" s="191">
        <v>36977</v>
      </c>
      <c r="AJ12" s="218">
        <v>37651</v>
      </c>
      <c r="AK12" s="191">
        <v>36488</v>
      </c>
      <c r="AL12" s="218">
        <v>36671</v>
      </c>
      <c r="AM12" s="159">
        <f>SUM(AN12:AY12)</f>
        <v>401215</v>
      </c>
      <c r="AN12" s="192">
        <v>31799</v>
      </c>
      <c r="AO12" s="191">
        <v>37455</v>
      </c>
      <c r="AP12" s="193">
        <v>36137</v>
      </c>
      <c r="AQ12" s="194">
        <v>37246</v>
      </c>
      <c r="AR12" s="194">
        <v>31115</v>
      </c>
      <c r="AS12" s="194">
        <v>34327</v>
      </c>
      <c r="AT12" s="194">
        <v>33753</v>
      </c>
      <c r="AU12" s="194">
        <v>29436</v>
      </c>
      <c r="AV12" s="194">
        <v>33497</v>
      </c>
      <c r="AW12" s="194">
        <v>33114</v>
      </c>
      <c r="AX12" s="194">
        <v>32257</v>
      </c>
      <c r="AY12" s="195">
        <v>31079</v>
      </c>
      <c r="AZ12" s="168">
        <f>SUM(BA12:BL12)</f>
        <v>402137</v>
      </c>
      <c r="BA12" s="234">
        <v>26806</v>
      </c>
      <c r="BB12" s="170">
        <v>32242</v>
      </c>
      <c r="BC12" s="170">
        <v>32771</v>
      </c>
      <c r="BD12" s="170">
        <v>30811</v>
      </c>
      <c r="BE12" s="170">
        <v>31293</v>
      </c>
      <c r="BF12" s="170">
        <v>34503</v>
      </c>
      <c r="BG12" s="170">
        <v>35878</v>
      </c>
      <c r="BH12" s="170">
        <v>29936</v>
      </c>
      <c r="BI12" s="170">
        <v>37630</v>
      </c>
      <c r="BJ12" s="170">
        <v>36462</v>
      </c>
      <c r="BK12" s="170">
        <v>37240</v>
      </c>
      <c r="BL12" s="170">
        <v>36565</v>
      </c>
      <c r="BM12" s="171">
        <v>32040</v>
      </c>
      <c r="BN12" s="171">
        <v>37256</v>
      </c>
      <c r="BO12" s="171">
        <v>38960</v>
      </c>
      <c r="BP12" s="171">
        <v>38352</v>
      </c>
      <c r="BQ12" s="171">
        <v>36247</v>
      </c>
      <c r="BR12" s="171">
        <v>46815</v>
      </c>
      <c r="BS12" s="171">
        <v>45689</v>
      </c>
      <c r="BT12" s="171">
        <v>38064</v>
      </c>
      <c r="BU12" s="171">
        <v>46924</v>
      </c>
      <c r="BV12" s="171">
        <v>48637</v>
      </c>
      <c r="BW12" s="171">
        <v>48126</v>
      </c>
      <c r="BX12" s="171">
        <v>47256</v>
      </c>
      <c r="BY12" s="168">
        <f>SUM(BM12:BX12)</f>
        <v>504366</v>
      </c>
      <c r="BZ12" s="170">
        <v>42748</v>
      </c>
      <c r="CA12" s="170">
        <v>48488</v>
      </c>
      <c r="CB12" s="170">
        <v>50782</v>
      </c>
      <c r="CC12" s="170">
        <v>50535</v>
      </c>
      <c r="CD12" s="189">
        <v>45105</v>
      </c>
      <c r="CE12" s="235">
        <v>51477</v>
      </c>
      <c r="CF12" s="224">
        <v>51007</v>
      </c>
      <c r="CG12" s="224">
        <v>46885</v>
      </c>
      <c r="CH12" s="224">
        <v>52218</v>
      </c>
      <c r="CI12" s="224">
        <v>52559</v>
      </c>
      <c r="CJ12" s="200">
        <v>53562</v>
      </c>
      <c r="CK12" s="341">
        <v>51785</v>
      </c>
      <c r="CL12" s="337">
        <f>SUM(BZ12:CK12)</f>
        <v>597151</v>
      </c>
      <c r="CM12" s="279">
        <v>47710</v>
      </c>
      <c r="CN12" s="280">
        <v>53138</v>
      </c>
      <c r="CO12" s="280">
        <v>52604</v>
      </c>
      <c r="CP12" s="362">
        <v>56391</v>
      </c>
      <c r="CQ12" s="362">
        <v>51148</v>
      </c>
      <c r="CR12" s="362">
        <v>57349</v>
      </c>
      <c r="CS12" s="362">
        <v>56888</v>
      </c>
      <c r="CT12" s="362">
        <v>53694</v>
      </c>
      <c r="CU12" s="362">
        <v>59728</v>
      </c>
      <c r="CV12" s="362">
        <v>60633</v>
      </c>
      <c r="CW12" s="362">
        <v>59007</v>
      </c>
      <c r="CX12" s="354">
        <v>59255</v>
      </c>
      <c r="CY12" s="337">
        <f>SUM(CM12:CX12)</f>
        <v>667545</v>
      </c>
      <c r="CZ12" s="362">
        <v>52147</v>
      </c>
      <c r="DA12" s="362">
        <v>60731</v>
      </c>
      <c r="DB12" s="362">
        <v>61336</v>
      </c>
      <c r="DC12" s="362">
        <v>60540</v>
      </c>
      <c r="DD12" s="362">
        <v>54072</v>
      </c>
      <c r="DE12" s="362">
        <v>62609</v>
      </c>
      <c r="DF12" s="362">
        <v>61816</v>
      </c>
      <c r="DG12" s="362">
        <v>53270</v>
      </c>
      <c r="DH12" s="362">
        <v>61182</v>
      </c>
      <c r="DI12" s="362">
        <v>63871</v>
      </c>
      <c r="DJ12" s="362">
        <v>62148</v>
      </c>
      <c r="DK12" s="362">
        <v>58515</v>
      </c>
      <c r="DL12" s="337">
        <f>SUM(CZ12:DK12)</f>
        <v>712237</v>
      </c>
      <c r="DM12" s="362">
        <v>54707</v>
      </c>
      <c r="DN12" s="362">
        <v>63230</v>
      </c>
      <c r="DO12" s="362">
        <v>65413</v>
      </c>
      <c r="DP12" s="362">
        <v>64566</v>
      </c>
      <c r="DQ12" s="362">
        <v>61399</v>
      </c>
      <c r="DR12" s="362">
        <v>66148</v>
      </c>
      <c r="DS12" s="362">
        <v>65370</v>
      </c>
      <c r="DT12" s="362">
        <v>55694</v>
      </c>
      <c r="DU12" s="362">
        <v>66028</v>
      </c>
      <c r="DV12" s="362">
        <v>68863</v>
      </c>
      <c r="DW12" s="362">
        <v>68627</v>
      </c>
      <c r="DX12" s="280">
        <v>65520</v>
      </c>
      <c r="DY12" s="365">
        <f>SUM(DM12:DX12)</f>
        <v>765565</v>
      </c>
      <c r="DZ12" s="392">
        <v>57327</v>
      </c>
      <c r="EA12" s="392">
        <v>69387</v>
      </c>
      <c r="EB12" s="392">
        <v>70336</v>
      </c>
      <c r="EC12" s="392">
        <v>68538</v>
      </c>
      <c r="ED12" s="392">
        <v>62796</v>
      </c>
      <c r="EE12" s="392">
        <v>72043</v>
      </c>
      <c r="EF12" s="392">
        <v>69952</v>
      </c>
      <c r="EG12" s="392">
        <v>57324</v>
      </c>
      <c r="EH12" s="392">
        <v>70520</v>
      </c>
      <c r="EI12" s="392">
        <v>70185</v>
      </c>
      <c r="EJ12" s="392">
        <v>62283</v>
      </c>
      <c r="EK12" s="392">
        <v>51524</v>
      </c>
      <c r="EL12" s="365">
        <f>SUM(DZ12:EK12)</f>
        <v>782215</v>
      </c>
      <c r="EM12" s="392">
        <v>35680</v>
      </c>
      <c r="EN12" s="392">
        <v>31823</v>
      </c>
      <c r="EO12" s="392">
        <v>28481</v>
      </c>
      <c r="EP12" s="392">
        <v>28905</v>
      </c>
      <c r="EQ12" s="392">
        <v>27036</v>
      </c>
      <c r="ER12" s="392">
        <v>33341</v>
      </c>
      <c r="ES12" s="392">
        <v>34471</v>
      </c>
      <c r="ET12" s="392">
        <v>30193</v>
      </c>
      <c r="EU12" s="392">
        <v>37526</v>
      </c>
      <c r="EV12" s="392">
        <v>40966</v>
      </c>
      <c r="EW12" s="392">
        <v>42854</v>
      </c>
      <c r="EX12" s="392">
        <v>39934</v>
      </c>
      <c r="EY12" s="365">
        <f>SUM(EM12:EX12)</f>
        <v>411210</v>
      </c>
      <c r="EZ12" s="392">
        <v>39343</v>
      </c>
      <c r="FA12" s="392">
        <v>45259</v>
      </c>
      <c r="FB12" s="392">
        <v>49566</v>
      </c>
      <c r="FC12" s="392">
        <v>47314</v>
      </c>
      <c r="FD12" s="392">
        <v>45035</v>
      </c>
      <c r="FE12" s="392">
        <v>55051</v>
      </c>
      <c r="FF12" s="392">
        <v>55549</v>
      </c>
      <c r="FG12" s="392">
        <v>48428</v>
      </c>
      <c r="FH12" s="392">
        <v>54620.1</v>
      </c>
      <c r="FI12" s="392">
        <v>54935</v>
      </c>
      <c r="FJ12" s="392">
        <v>56385.599999999999</v>
      </c>
      <c r="FK12" s="392">
        <v>56180.1</v>
      </c>
      <c r="FL12" s="365">
        <f>SUM(EZ12:FK12)</f>
        <v>607665.79999999993</v>
      </c>
      <c r="FM12" s="392">
        <v>49094</v>
      </c>
      <c r="FN12" s="392">
        <v>56609</v>
      </c>
      <c r="FO12" s="392">
        <v>56390</v>
      </c>
      <c r="FP12" s="392">
        <v>50391.35</v>
      </c>
      <c r="FQ12" s="392">
        <v>47612</v>
      </c>
      <c r="FR12" s="392">
        <v>58039</v>
      </c>
      <c r="FS12" s="392">
        <v>57419.8</v>
      </c>
      <c r="FT12" s="392">
        <v>49639.7</v>
      </c>
      <c r="FU12" s="392">
        <v>60818.9</v>
      </c>
      <c r="FV12" s="392">
        <v>62299.6</v>
      </c>
      <c r="FW12" s="392">
        <v>62243.7</v>
      </c>
      <c r="FX12" s="392">
        <v>64680.9</v>
      </c>
      <c r="FY12" s="365">
        <f>SUM(FM12:FX12)</f>
        <v>675237.95</v>
      </c>
      <c r="FZ12" s="392">
        <v>51984.5</v>
      </c>
      <c r="GA12" s="392">
        <v>59570.3</v>
      </c>
      <c r="GB12" s="392">
        <v>60128.9</v>
      </c>
      <c r="GC12" s="392">
        <v>59187.9</v>
      </c>
      <c r="GD12" s="416">
        <v>54700.7</v>
      </c>
      <c r="GE12" s="416">
        <v>60127.199999999997</v>
      </c>
      <c r="GF12" s="414">
        <v>59263.8</v>
      </c>
      <c r="GG12" s="414">
        <v>46144.3</v>
      </c>
      <c r="GH12" s="414">
        <v>53955.9</v>
      </c>
      <c r="GI12" s="414">
        <v>55492.800000000003</v>
      </c>
      <c r="GJ12" s="414">
        <v>50796</v>
      </c>
      <c r="GK12" s="414">
        <v>46160.1</v>
      </c>
      <c r="GL12" s="365">
        <f>SUM(FZ12:GK12)</f>
        <v>657512.4</v>
      </c>
      <c r="GM12" s="392">
        <v>44790.3</v>
      </c>
      <c r="GN12" s="392">
        <v>53850.2</v>
      </c>
      <c r="GO12" s="392">
        <v>54643.6</v>
      </c>
      <c r="GP12" s="392">
        <v>56599.199999999997</v>
      </c>
      <c r="GQ12" s="392">
        <v>53957.5</v>
      </c>
      <c r="GR12" s="392">
        <v>59603.7</v>
      </c>
      <c r="GS12" s="392">
        <v>61585.5</v>
      </c>
      <c r="GT12" s="392">
        <v>50710.7</v>
      </c>
      <c r="GU12" s="392">
        <v>62557.4</v>
      </c>
      <c r="GV12" s="392">
        <v>62724.2</v>
      </c>
      <c r="GW12" s="392">
        <v>61991.6</v>
      </c>
      <c r="GX12" s="392">
        <v>60077.3</v>
      </c>
      <c r="GY12" s="365">
        <f>SUM(GM12:GX12)</f>
        <v>683091.20000000007</v>
      </c>
      <c r="GZ12" s="392">
        <v>55610.7</v>
      </c>
      <c r="HA12" s="392">
        <v>61915.5</v>
      </c>
      <c r="HB12" s="392">
        <v>61967.3</v>
      </c>
      <c r="HC12" s="392">
        <v>59361.599999999999</v>
      </c>
      <c r="HD12" s="392">
        <v>55519.4</v>
      </c>
      <c r="HE12" s="392">
        <v>62733.3</v>
      </c>
      <c r="HF12" s="392">
        <v>62953.4</v>
      </c>
      <c r="HG12" s="392">
        <v>51100.7</v>
      </c>
      <c r="HH12" s="392">
        <v>72516.3</v>
      </c>
      <c r="HI12" s="392">
        <v>64232.7</v>
      </c>
      <c r="HJ12" s="392">
        <v>59379.4</v>
      </c>
      <c r="HK12" s="392">
        <v>58258.400000000001</v>
      </c>
      <c r="HL12" s="365">
        <f>SUM(GZ12:HK12)</f>
        <v>725548.70000000007</v>
      </c>
      <c r="HM12" s="392">
        <v>52660.7</v>
      </c>
      <c r="HN12" s="279">
        <v>59409.8</v>
      </c>
      <c r="HO12" s="306">
        <v>60621.119999999995</v>
      </c>
      <c r="HP12" s="425">
        <v>57823.8</v>
      </c>
      <c r="HQ12" s="432">
        <v>51527.3</v>
      </c>
      <c r="HR12" s="432">
        <v>64520.2</v>
      </c>
      <c r="HS12" s="432">
        <v>58942.3</v>
      </c>
      <c r="HT12" s="432">
        <v>48398</v>
      </c>
      <c r="HU12" s="432">
        <v>58495.199999999997</v>
      </c>
      <c r="HV12" s="432">
        <v>56241.9</v>
      </c>
      <c r="HW12" s="432">
        <v>55969.3</v>
      </c>
      <c r="HX12" s="432">
        <v>50870.5</v>
      </c>
      <c r="HY12" s="456">
        <f>SUM(HM12:HX12)</f>
        <v>675480.12</v>
      </c>
      <c r="HZ12" s="432">
        <v>47648.9</v>
      </c>
      <c r="IA12" s="432">
        <v>57097.3</v>
      </c>
      <c r="IB12" s="432">
        <v>56694.9</v>
      </c>
      <c r="IC12" s="432">
        <v>54756.3</v>
      </c>
      <c r="ID12" s="432">
        <v>47934.1</v>
      </c>
      <c r="IE12" s="432">
        <v>57799.4</v>
      </c>
      <c r="IF12" s="432">
        <v>55808.9</v>
      </c>
      <c r="IG12" s="432">
        <v>48087.3</v>
      </c>
      <c r="IH12" s="432">
        <v>55883.82</v>
      </c>
      <c r="II12" s="432">
        <v>54727.58</v>
      </c>
      <c r="IJ12" s="432">
        <v>57180.6</v>
      </c>
      <c r="IK12" s="432">
        <f>'[1]３地区計'!N5</f>
        <v>55693.7</v>
      </c>
      <c r="IL12" s="466">
        <f>SUM(HZ12:IK12)</f>
        <v>649312.79999999993</v>
      </c>
      <c r="IM12" s="432">
        <v>49638</v>
      </c>
      <c r="IN12" s="503">
        <v>56401</v>
      </c>
      <c r="IO12" s="503">
        <v>60442</v>
      </c>
      <c r="IP12" s="503">
        <v>57050</v>
      </c>
      <c r="IQ12" s="503">
        <v>49688</v>
      </c>
      <c r="IR12" s="503">
        <v>60290</v>
      </c>
      <c r="IS12" s="503">
        <v>61591</v>
      </c>
      <c r="IT12" s="503">
        <v>52174</v>
      </c>
      <c r="IU12" s="503">
        <v>56637</v>
      </c>
      <c r="IV12" s="503">
        <v>57992</v>
      </c>
      <c r="IW12" s="517">
        <v>62920</v>
      </c>
      <c r="IX12" s="503">
        <v>58815</v>
      </c>
      <c r="IY12" s="466">
        <f>SUM(IM12:IX12)</f>
        <v>683638</v>
      </c>
      <c r="IZ12" s="503">
        <v>50272</v>
      </c>
      <c r="JA12" s="503">
        <v>59855</v>
      </c>
      <c r="JB12" s="503">
        <v>62868</v>
      </c>
      <c r="JC12" s="503">
        <v>60485</v>
      </c>
      <c r="JD12" s="503">
        <v>55753</v>
      </c>
      <c r="JE12" s="503">
        <v>62730</v>
      </c>
      <c r="JF12" s="503">
        <v>62409</v>
      </c>
      <c r="JG12" s="503">
        <v>53214</v>
      </c>
      <c r="JH12" s="503">
        <v>59486</v>
      </c>
      <c r="JI12" s="503">
        <v>64086</v>
      </c>
      <c r="JJ12" s="503">
        <v>60957</v>
      </c>
      <c r="JK12" s="503">
        <v>64389</v>
      </c>
      <c r="JL12" s="512">
        <f>SUM(IZ12:JK12)</f>
        <v>716504</v>
      </c>
      <c r="JM12" s="503">
        <v>51569</v>
      </c>
      <c r="JN12" s="503">
        <v>60039</v>
      </c>
    </row>
    <row r="13" spans="1:274" ht="13.5" customHeight="1" thickBot="1" x14ac:dyDescent="0.35">
      <c r="A13" s="550"/>
      <c r="B13" s="43" t="s">
        <v>102</v>
      </c>
      <c r="C13" s="173"/>
      <c r="D13" s="174">
        <f t="shared" ref="D13:M13" si="132">(D12/C12-1)*100</f>
        <v>6.0046773577701495</v>
      </c>
      <c r="E13" s="174">
        <f t="shared" si="132"/>
        <v>-3.1799346543539553</v>
      </c>
      <c r="F13" s="174">
        <f t="shared" si="132"/>
        <v>-17.587871929810962</v>
      </c>
      <c r="G13" s="174">
        <f t="shared" si="132"/>
        <v>-4.5110250482927832</v>
      </c>
      <c r="H13" s="174">
        <f t="shared" si="132"/>
        <v>-2.9436444934701655</v>
      </c>
      <c r="I13" s="174">
        <f t="shared" si="132"/>
        <v>10.474178346586127</v>
      </c>
      <c r="J13" s="174">
        <f t="shared" si="132"/>
        <v>-6.8715037614704215</v>
      </c>
      <c r="K13" s="174">
        <f t="shared" si="132"/>
        <v>0.38959937348475027</v>
      </c>
      <c r="L13" s="174">
        <f t="shared" si="132"/>
        <v>-20.218665136587109</v>
      </c>
      <c r="M13" s="174">
        <f t="shared" si="132"/>
        <v>-2.0400874850989625</v>
      </c>
      <c r="N13" s="174">
        <f>(N12/M12-1)*100</f>
        <v>8.3798264647536378</v>
      </c>
      <c r="O13" s="175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7"/>
      <c r="AA13" s="174">
        <f t="shared" ref="AA13:AL13" si="133">(AA12/O12-1)*100</f>
        <v>13.691701259287692</v>
      </c>
      <c r="AB13" s="174">
        <f t="shared" si="133"/>
        <v>10.788604090381359</v>
      </c>
      <c r="AC13" s="174">
        <f t="shared" si="133"/>
        <v>9.6171309722588472</v>
      </c>
      <c r="AD13" s="174">
        <f t="shared" si="133"/>
        <v>16.92178196215357</v>
      </c>
      <c r="AE13" s="174">
        <f t="shared" si="133"/>
        <v>11.888851005796109</v>
      </c>
      <c r="AF13" s="174">
        <f t="shared" si="133"/>
        <v>16.23968075060165</v>
      </c>
      <c r="AG13" s="174">
        <f t="shared" si="133"/>
        <v>8.3835910909416675</v>
      </c>
      <c r="AH13" s="174">
        <f t="shared" si="133"/>
        <v>7.9414405082521844</v>
      </c>
      <c r="AI13" s="174">
        <f t="shared" si="133"/>
        <v>3.0746501644645097</v>
      </c>
      <c r="AJ13" s="174">
        <f t="shared" si="133"/>
        <v>4.6878910051438849</v>
      </c>
      <c r="AK13" s="174">
        <f t="shared" si="133"/>
        <v>-1.1834800270819179</v>
      </c>
      <c r="AL13" s="178">
        <f t="shared" si="133"/>
        <v>2.2045707915273161</v>
      </c>
      <c r="AM13" s="174">
        <f>(AM12/N12-1)*100</f>
        <v>-6.9231982703023771</v>
      </c>
      <c r="AN13" s="179">
        <f t="shared" ref="AN13:AY13" si="134">(AN12/AA12-1)*100</f>
        <v>-2.4331124202258247</v>
      </c>
      <c r="AO13" s="174">
        <f t="shared" si="134"/>
        <v>0.6449012494961659</v>
      </c>
      <c r="AP13" s="178">
        <f t="shared" si="134"/>
        <v>-3.4286477819347905</v>
      </c>
      <c r="AQ13" s="174">
        <f t="shared" si="134"/>
        <v>-0.69057459005466004</v>
      </c>
      <c r="AR13" s="174">
        <f t="shared" si="134"/>
        <v>-5.1863363500624704</v>
      </c>
      <c r="AS13" s="180">
        <f t="shared" si="134"/>
        <v>-10.039834372870693</v>
      </c>
      <c r="AT13" s="174">
        <f t="shared" si="134"/>
        <v>-7.0216516996308709</v>
      </c>
      <c r="AU13" s="180">
        <f t="shared" si="134"/>
        <v>-5.8409570724841657</v>
      </c>
      <c r="AV13" s="174">
        <f t="shared" si="134"/>
        <v>-9.4112556454011944</v>
      </c>
      <c r="AW13" s="180">
        <f t="shared" si="134"/>
        <v>-12.050144750471436</v>
      </c>
      <c r="AX13" s="174">
        <f t="shared" si="134"/>
        <v>-11.595593071694799</v>
      </c>
      <c r="AY13" s="181">
        <f t="shared" si="134"/>
        <v>-15.249106923727195</v>
      </c>
      <c r="AZ13" s="182">
        <f t="shared" ref="AZ13:BL13" si="135">(AZ12/AM12-1)*100</f>
        <v>0.2298019764964021</v>
      </c>
      <c r="BA13" s="225">
        <f t="shared" si="135"/>
        <v>-15.701751627409665</v>
      </c>
      <c r="BB13" s="184">
        <f t="shared" si="135"/>
        <v>-13.918034975303694</v>
      </c>
      <c r="BC13" s="184">
        <f t="shared" si="135"/>
        <v>-9.3145529512687837</v>
      </c>
      <c r="BD13" s="184">
        <f t="shared" si="135"/>
        <v>-17.277023036030712</v>
      </c>
      <c r="BE13" s="184">
        <f t="shared" si="135"/>
        <v>0.57207134822432337</v>
      </c>
      <c r="BF13" s="184">
        <f t="shared" si="135"/>
        <v>0.51271593789146142</v>
      </c>
      <c r="BG13" s="184">
        <f t="shared" si="135"/>
        <v>6.2957366752584898</v>
      </c>
      <c r="BH13" s="184">
        <f t="shared" si="135"/>
        <v>1.6986003533088656</v>
      </c>
      <c r="BI13" s="184">
        <f t="shared" si="135"/>
        <v>12.338418365823811</v>
      </c>
      <c r="BJ13" s="184">
        <f t="shared" si="135"/>
        <v>10.110527269432868</v>
      </c>
      <c r="BK13" s="184">
        <f t="shared" si="135"/>
        <v>15.447809777722664</v>
      </c>
      <c r="BL13" s="184">
        <f t="shared" si="135"/>
        <v>17.651790598153095</v>
      </c>
      <c r="BM13" s="185">
        <f t="shared" ref="BM13:BX13" si="136">(BM12/BA12-1)*100</f>
        <v>19.525479370290235</v>
      </c>
      <c r="BN13" s="185">
        <f t="shared" si="136"/>
        <v>15.551144469946031</v>
      </c>
      <c r="BO13" s="185">
        <f t="shared" si="136"/>
        <v>18.885600073235477</v>
      </c>
      <c r="BP13" s="185">
        <f t="shared" si="136"/>
        <v>24.475025153354313</v>
      </c>
      <c r="BQ13" s="185">
        <f t="shared" si="136"/>
        <v>15.831016521266728</v>
      </c>
      <c r="BR13" s="185">
        <f t="shared" si="136"/>
        <v>35.683853577949741</v>
      </c>
      <c r="BS13" s="185">
        <f t="shared" si="136"/>
        <v>27.345448464239919</v>
      </c>
      <c r="BT13" s="185">
        <f t="shared" si="136"/>
        <v>27.151256012827375</v>
      </c>
      <c r="BU13" s="185">
        <f t="shared" si="136"/>
        <v>24.698378952963051</v>
      </c>
      <c r="BV13" s="185">
        <f t="shared" si="136"/>
        <v>33.390927541001588</v>
      </c>
      <c r="BW13" s="185">
        <f t="shared" si="136"/>
        <v>29.232008592910841</v>
      </c>
      <c r="BX13" s="185">
        <f t="shared" si="136"/>
        <v>29.238342677423756</v>
      </c>
      <c r="BY13" s="182">
        <f>(BY12/AZ12-1)*100</f>
        <v>25.421435978286013</v>
      </c>
      <c r="BZ13" s="184">
        <f t="shared" ref="BZ13:CK13" si="137">(BZ12/BM12-1)*100</f>
        <v>33.420724094881393</v>
      </c>
      <c r="CA13" s="184">
        <f t="shared" si="137"/>
        <v>30.148164054112094</v>
      </c>
      <c r="CB13" s="184">
        <f t="shared" si="137"/>
        <v>30.34394250513348</v>
      </c>
      <c r="CC13" s="184">
        <f t="shared" si="137"/>
        <v>31.766270337922407</v>
      </c>
      <c r="CD13" s="184">
        <f t="shared" si="137"/>
        <v>24.43788451458051</v>
      </c>
      <c r="CE13" s="186">
        <f t="shared" si="137"/>
        <v>9.9583466837552148</v>
      </c>
      <c r="CF13" s="186">
        <f t="shared" si="137"/>
        <v>11.639563133358145</v>
      </c>
      <c r="CG13" s="186">
        <f t="shared" si="137"/>
        <v>23.174127784783515</v>
      </c>
      <c r="CH13" s="186">
        <f t="shared" si="137"/>
        <v>11.28207313954479</v>
      </c>
      <c r="CI13" s="186">
        <f t="shared" si="137"/>
        <v>8.06381972572321</v>
      </c>
      <c r="CJ13" s="186">
        <f t="shared" si="137"/>
        <v>11.295349707019064</v>
      </c>
      <c r="CK13" s="340">
        <f t="shared" si="137"/>
        <v>9.5839681733536519</v>
      </c>
      <c r="CL13" s="346">
        <f t="shared" ref="CL13:EL13" si="138">(CL12/BY12-1)*100</f>
        <v>18.396362958645106</v>
      </c>
      <c r="CM13" s="269">
        <f t="shared" si="138"/>
        <v>11.607560587629839</v>
      </c>
      <c r="CN13" s="270">
        <f t="shared" si="138"/>
        <v>9.5900016498927663</v>
      </c>
      <c r="CO13" s="270">
        <f t="shared" si="138"/>
        <v>3.5878854712299679</v>
      </c>
      <c r="CP13" s="357">
        <f t="shared" si="138"/>
        <v>11.58800831107154</v>
      </c>
      <c r="CQ13" s="357">
        <f t="shared" si="138"/>
        <v>13.397627757454833</v>
      </c>
      <c r="CR13" s="357">
        <f t="shared" si="138"/>
        <v>11.407036152067906</v>
      </c>
      <c r="CS13" s="357">
        <f t="shared" si="138"/>
        <v>11.529790028819576</v>
      </c>
      <c r="CT13" s="357">
        <f t="shared" si="138"/>
        <v>14.522768476058445</v>
      </c>
      <c r="CU13" s="357">
        <f t="shared" si="138"/>
        <v>14.382013864950792</v>
      </c>
      <c r="CV13" s="357">
        <f t="shared" si="138"/>
        <v>15.361783899998095</v>
      </c>
      <c r="CW13" s="357">
        <f t="shared" si="138"/>
        <v>10.16578917889548</v>
      </c>
      <c r="CX13" s="349">
        <f t="shared" si="138"/>
        <v>14.425026552090369</v>
      </c>
      <c r="CY13" s="346">
        <f t="shared" si="138"/>
        <v>11.788308149864935</v>
      </c>
      <c r="CZ13" s="357">
        <f t="shared" si="138"/>
        <v>9.2999371201005978</v>
      </c>
      <c r="DA13" s="357">
        <f t="shared" si="138"/>
        <v>14.28920922880048</v>
      </c>
      <c r="DB13" s="357">
        <f t="shared" si="138"/>
        <v>16.599498137023794</v>
      </c>
      <c r="DC13" s="357">
        <f t="shared" si="138"/>
        <v>7.357557056977182</v>
      </c>
      <c r="DD13" s="357">
        <f t="shared" si="138"/>
        <v>5.7167435676859224</v>
      </c>
      <c r="DE13" s="357">
        <f t="shared" si="138"/>
        <v>9.1719123262829392</v>
      </c>
      <c r="DF13" s="357">
        <f t="shared" si="138"/>
        <v>8.6626353536773948</v>
      </c>
      <c r="DG13" s="357">
        <f t="shared" si="138"/>
        <v>-0.78965992475882318</v>
      </c>
      <c r="DH13" s="357">
        <f t="shared" si="138"/>
        <v>2.4343691401017997</v>
      </c>
      <c r="DI13" s="357">
        <f t="shared" si="138"/>
        <v>5.3403262249929861</v>
      </c>
      <c r="DJ13" s="357">
        <f t="shared" si="138"/>
        <v>5.3230972596471693</v>
      </c>
      <c r="DK13" s="357">
        <f t="shared" si="138"/>
        <v>-1.2488397603577783</v>
      </c>
      <c r="DL13" s="346">
        <f t="shared" si="138"/>
        <v>6.6949793646870148</v>
      </c>
      <c r="DM13" s="357">
        <f t="shared" si="138"/>
        <v>4.9091989951483228</v>
      </c>
      <c r="DN13" s="357">
        <f t="shared" si="138"/>
        <v>4.1148672012645937</v>
      </c>
      <c r="DO13" s="357">
        <f t="shared" si="138"/>
        <v>6.6469936089735171</v>
      </c>
      <c r="DP13" s="357">
        <f t="shared" si="138"/>
        <v>6.6501486620416328</v>
      </c>
      <c r="DQ13" s="357">
        <f t="shared" si="138"/>
        <v>13.550451250184947</v>
      </c>
      <c r="DR13" s="357">
        <f t="shared" si="138"/>
        <v>5.6525419668098875</v>
      </c>
      <c r="DS13" s="357">
        <f t="shared" si="138"/>
        <v>5.7493205642552114</v>
      </c>
      <c r="DT13" s="357">
        <f t="shared" si="138"/>
        <v>4.5504036042800733</v>
      </c>
      <c r="DU13" s="357">
        <f t="shared" si="138"/>
        <v>7.9206302507273341</v>
      </c>
      <c r="DV13" s="357">
        <f t="shared" si="138"/>
        <v>7.8157536284072515</v>
      </c>
      <c r="DW13" s="357">
        <f t="shared" si="138"/>
        <v>10.425114243418943</v>
      </c>
      <c r="DX13" s="270">
        <f t="shared" si="138"/>
        <v>11.971289412971032</v>
      </c>
      <c r="DY13" s="346">
        <f t="shared" si="138"/>
        <v>7.4873953473352239</v>
      </c>
      <c r="DZ13" s="387">
        <f t="shared" si="138"/>
        <v>4.7891494689893399</v>
      </c>
      <c r="EA13" s="387">
        <f t="shared" si="138"/>
        <v>9.7374663925351879</v>
      </c>
      <c r="EB13" s="387">
        <f t="shared" si="138"/>
        <v>7.5260269365416743</v>
      </c>
      <c r="EC13" s="387">
        <f t="shared" si="138"/>
        <v>6.1518446241055624</v>
      </c>
      <c r="ED13" s="387">
        <f t="shared" si="138"/>
        <v>2.2752813563738927</v>
      </c>
      <c r="EE13" s="387">
        <f t="shared" si="138"/>
        <v>8.9118340690572673</v>
      </c>
      <c r="EF13" s="387">
        <f t="shared" si="138"/>
        <v>7.009331497628879</v>
      </c>
      <c r="EG13" s="387">
        <f t="shared" si="138"/>
        <v>2.9267066470355818</v>
      </c>
      <c r="EH13" s="387">
        <f t="shared" si="138"/>
        <v>6.8031744108560055</v>
      </c>
      <c r="EI13" s="387">
        <f t="shared" si="138"/>
        <v>1.9197537138956999</v>
      </c>
      <c r="EJ13" s="387">
        <f t="shared" si="138"/>
        <v>-9.2441750331502153</v>
      </c>
      <c r="EK13" s="387">
        <f t="shared" si="138"/>
        <v>-21.361416361416364</v>
      </c>
      <c r="EL13" s="346">
        <f t="shared" si="138"/>
        <v>2.1748643158974179</v>
      </c>
      <c r="EM13" s="387">
        <f t="shared" ref="EM13:EX13" si="139">(EM12/DZ12-1)*100</f>
        <v>-37.760566574214593</v>
      </c>
      <c r="EN13" s="387">
        <f t="shared" si="139"/>
        <v>-54.13694207848733</v>
      </c>
      <c r="EO13" s="387">
        <f t="shared" si="139"/>
        <v>-59.507222474977247</v>
      </c>
      <c r="EP13" s="387">
        <f t="shared" si="139"/>
        <v>-57.826315328722757</v>
      </c>
      <c r="EQ13" s="387">
        <f t="shared" si="139"/>
        <v>-56.946302312249188</v>
      </c>
      <c r="ER13" s="387">
        <f t="shared" si="139"/>
        <v>-53.720694585178293</v>
      </c>
      <c r="ES13" s="387">
        <f t="shared" si="139"/>
        <v>-50.721923604757549</v>
      </c>
      <c r="ET13" s="387">
        <f t="shared" si="139"/>
        <v>-47.329216384062519</v>
      </c>
      <c r="EU13" s="387">
        <f t="shared" si="139"/>
        <v>-46.786727169597278</v>
      </c>
      <c r="EV13" s="387">
        <f t="shared" si="139"/>
        <v>-41.63140272137921</v>
      </c>
      <c r="EW13" s="387">
        <f t="shared" si="139"/>
        <v>-31.194708026267204</v>
      </c>
      <c r="EX13" s="387">
        <f t="shared" si="139"/>
        <v>-22.49437155500349</v>
      </c>
      <c r="EY13" s="346">
        <f t="shared" ref="EY13:FX13" si="140">(EY12/EL12-1)*100</f>
        <v>-47.430054396809062</v>
      </c>
      <c r="EZ13" s="387">
        <f t="shared" si="140"/>
        <v>10.266255605381168</v>
      </c>
      <c r="FA13" s="387">
        <f t="shared" si="140"/>
        <v>42.221035100399071</v>
      </c>
      <c r="FB13" s="387">
        <f t="shared" si="140"/>
        <v>74.031810680804753</v>
      </c>
      <c r="FC13" s="387">
        <f t="shared" si="140"/>
        <v>63.687943262411338</v>
      </c>
      <c r="FD13" s="387">
        <f t="shared" si="140"/>
        <v>66.574197366474337</v>
      </c>
      <c r="FE13" s="387">
        <f t="shared" si="140"/>
        <v>65.115023544584744</v>
      </c>
      <c r="FF13" s="387">
        <f t="shared" si="140"/>
        <v>61.147051144440255</v>
      </c>
      <c r="FG13" s="387">
        <f t="shared" si="140"/>
        <v>60.394793495180998</v>
      </c>
      <c r="FH13" s="387">
        <f t="shared" si="140"/>
        <v>45.552683472792197</v>
      </c>
      <c r="FI13" s="387">
        <f t="shared" si="140"/>
        <v>34.099008934238142</v>
      </c>
      <c r="FJ13" s="387">
        <f t="shared" si="140"/>
        <v>31.576048910253405</v>
      </c>
      <c r="FK13" s="387">
        <f t="shared" si="140"/>
        <v>40.682375920268441</v>
      </c>
      <c r="FL13" s="346">
        <f t="shared" si="140"/>
        <v>47.775054108606298</v>
      </c>
      <c r="FM13" s="387">
        <f t="shared" si="140"/>
        <v>24.784586838827739</v>
      </c>
      <c r="FN13" s="387">
        <f t="shared" si="140"/>
        <v>25.077885061534722</v>
      </c>
      <c r="FO13" s="387">
        <f t="shared" si="140"/>
        <v>13.767501916636405</v>
      </c>
      <c r="FP13" s="387">
        <f t="shared" si="140"/>
        <v>6.5041002663059455</v>
      </c>
      <c r="FQ13" s="387">
        <f t="shared" si="140"/>
        <v>5.7222160541800848</v>
      </c>
      <c r="FR13" s="387">
        <f t="shared" si="140"/>
        <v>5.4276943198125371</v>
      </c>
      <c r="FS13" s="387">
        <f t="shared" si="140"/>
        <v>3.3678374048137671</v>
      </c>
      <c r="FT13" s="387">
        <f t="shared" si="140"/>
        <v>2.5020649211200174</v>
      </c>
      <c r="FU13" s="387">
        <f t="shared" si="140"/>
        <v>11.348935648232072</v>
      </c>
      <c r="FV13" s="387">
        <f t="shared" si="140"/>
        <v>13.406025302630376</v>
      </c>
      <c r="FW13" s="387">
        <f t="shared" si="140"/>
        <v>10.389354728866952</v>
      </c>
      <c r="FX13" s="387">
        <f t="shared" si="140"/>
        <v>15.131336540874795</v>
      </c>
      <c r="FY13" s="346">
        <f t="shared" ref="FY13:GT13" si="141">(FY12/FL12-1)*100</f>
        <v>11.11995277667428</v>
      </c>
      <c r="FZ13" s="387">
        <f t="shared" si="141"/>
        <v>5.887684849472441</v>
      </c>
      <c r="GA13" s="387">
        <f t="shared" si="141"/>
        <v>5.2311469907611929</v>
      </c>
      <c r="GB13" s="387">
        <f t="shared" si="141"/>
        <v>6.6304309274694218</v>
      </c>
      <c r="GC13" s="387">
        <f t="shared" si="141"/>
        <v>17.456468223216891</v>
      </c>
      <c r="GD13" s="411">
        <f t="shared" si="141"/>
        <v>14.888473494077115</v>
      </c>
      <c r="GE13" s="411">
        <f t="shared" si="141"/>
        <v>3.5979255328313586</v>
      </c>
      <c r="GF13" s="411">
        <f t="shared" si="141"/>
        <v>3.2114357765091528</v>
      </c>
      <c r="GG13" s="411">
        <f t="shared" si="141"/>
        <v>-7.0415413469460786</v>
      </c>
      <c r="GH13" s="411">
        <f t="shared" si="141"/>
        <v>-11.28432115674568</v>
      </c>
      <c r="GI13" s="411">
        <f t="shared" si="141"/>
        <v>-10.925912846952457</v>
      </c>
      <c r="GJ13" s="411">
        <f t="shared" si="141"/>
        <v>-18.391740850881288</v>
      </c>
      <c r="GK13" s="411">
        <f t="shared" si="141"/>
        <v>-28.634109914982631</v>
      </c>
      <c r="GL13" s="346">
        <f t="shared" si="141"/>
        <v>-2.6250820173836398</v>
      </c>
      <c r="GM13" s="387">
        <f t="shared" si="141"/>
        <v>-13.839125123834982</v>
      </c>
      <c r="GN13" s="387">
        <f t="shared" si="141"/>
        <v>-9.6022682444103946</v>
      </c>
      <c r="GO13" s="387">
        <f t="shared" si="141"/>
        <v>-9.1225683489969072</v>
      </c>
      <c r="GP13" s="387">
        <f t="shared" si="141"/>
        <v>-4.3736980024633443</v>
      </c>
      <c r="GQ13" s="387">
        <f t="shared" si="141"/>
        <v>-1.358666342478243</v>
      </c>
      <c r="GR13" s="387">
        <f t="shared" si="141"/>
        <v>-0.87065421306830038</v>
      </c>
      <c r="GS13" s="387">
        <f t="shared" si="141"/>
        <v>3.9175685663086046</v>
      </c>
      <c r="GT13" s="387">
        <f t="shared" si="141"/>
        <v>9.8959134714363231</v>
      </c>
      <c r="GU13" s="387">
        <f t="shared" ref="GU13:HY13" si="142">(GU12/GH12-1)*100</f>
        <v>15.941722777305166</v>
      </c>
      <c r="GV13" s="387">
        <f t="shared" si="142"/>
        <v>13.031240088804296</v>
      </c>
      <c r="GW13" s="387">
        <f t="shared" si="142"/>
        <v>22.040318135286242</v>
      </c>
      <c r="GX13" s="387">
        <f t="shared" si="142"/>
        <v>30.149848028925419</v>
      </c>
      <c r="GY13" s="346">
        <f t="shared" si="142"/>
        <v>3.8902384198381768</v>
      </c>
      <c r="GZ13" s="387">
        <f t="shared" si="142"/>
        <v>24.157909190159454</v>
      </c>
      <c r="HA13" s="387">
        <f t="shared" si="142"/>
        <v>14.977288849437898</v>
      </c>
      <c r="HB13" s="387">
        <f t="shared" si="142"/>
        <v>13.402667467004381</v>
      </c>
      <c r="HC13" s="387">
        <f t="shared" si="142"/>
        <v>4.8806343552558973</v>
      </c>
      <c r="HD13" s="387">
        <f t="shared" si="142"/>
        <v>2.8946856322105363</v>
      </c>
      <c r="HE13" s="387">
        <f t="shared" si="142"/>
        <v>5.2506807463295058</v>
      </c>
      <c r="HF13" s="387">
        <f t="shared" si="142"/>
        <v>2.2211397163293345</v>
      </c>
      <c r="HG13" s="387">
        <f t="shared" si="142"/>
        <v>0.76906846089681569</v>
      </c>
      <c r="HH13" s="387">
        <f t="shared" si="142"/>
        <v>15.919619421523269</v>
      </c>
      <c r="HI13" s="387">
        <f t="shared" si="142"/>
        <v>2.4049728812802762</v>
      </c>
      <c r="HJ13" s="387">
        <f t="shared" si="142"/>
        <v>-4.213796707941075</v>
      </c>
      <c r="HK13" s="387">
        <f t="shared" si="142"/>
        <v>-3.0275994427179653</v>
      </c>
      <c r="HL13" s="346">
        <f t="shared" si="142"/>
        <v>6.2154950905530582</v>
      </c>
      <c r="HM13" s="387">
        <f t="shared" si="142"/>
        <v>-5.3047345205149421</v>
      </c>
      <c r="HN13" s="269">
        <f t="shared" si="142"/>
        <v>-4.0469672376060917</v>
      </c>
      <c r="HO13" s="411">
        <f t="shared" si="142"/>
        <v>-2.1724038323438499</v>
      </c>
      <c r="HP13" s="269">
        <f t="shared" si="142"/>
        <v>-2.5905635966685492</v>
      </c>
      <c r="HQ13" s="411">
        <f t="shared" si="142"/>
        <v>-7.1904595510758345</v>
      </c>
      <c r="HR13" s="411">
        <f t="shared" si="142"/>
        <v>2.8484074646160762</v>
      </c>
      <c r="HS13" s="411">
        <f t="shared" si="142"/>
        <v>-6.3715383124660407</v>
      </c>
      <c r="HT13" s="411">
        <f t="shared" si="142"/>
        <v>-5.2889686442651467</v>
      </c>
      <c r="HU13" s="411">
        <f t="shared" si="142"/>
        <v>-19.335101211727579</v>
      </c>
      <c r="HV13" s="411">
        <f t="shared" si="142"/>
        <v>-12.440392510356869</v>
      </c>
      <c r="HW13" s="411">
        <f t="shared" si="142"/>
        <v>-5.7429007366190943</v>
      </c>
      <c r="HX13" s="411">
        <f t="shared" si="142"/>
        <v>-12.681261414662949</v>
      </c>
      <c r="HY13" s="457">
        <f t="shared" si="142"/>
        <v>-6.9007883275099324</v>
      </c>
      <c r="HZ13" s="411">
        <f t="shared" ref="HZ13" si="143">(HZ12/HM12-1)*100</f>
        <v>-9.5171541586040362</v>
      </c>
      <c r="IA13" s="411">
        <f t="shared" ref="IA13" si="144">(IA12/HN12-1)*100</f>
        <v>-3.8924554534773725</v>
      </c>
      <c r="IB13" s="411">
        <f t="shared" ref="IB13" si="145">(IB12/HO12-1)*100</f>
        <v>-6.476653681093314</v>
      </c>
      <c r="IC13" s="411">
        <f t="shared" ref="IC13" si="146">(IC12/HP12-1)*100</f>
        <v>-5.3049090512902968</v>
      </c>
      <c r="ID13" s="411">
        <f t="shared" ref="ID13" si="147">(ID12/HQ12-1)*100</f>
        <v>-6.9733908044861792</v>
      </c>
      <c r="IE13" s="411">
        <f t="shared" ref="IE13" si="148">(IE12/HR12-1)*100</f>
        <v>-10.416582713630762</v>
      </c>
      <c r="IF13" s="411">
        <f t="shared" ref="IF13" si="149">(IF12/HS12-1)*100</f>
        <v>-5.3160463707727761</v>
      </c>
      <c r="IG13" s="411">
        <f t="shared" ref="IG13" si="150">(IG12/HT12-1)*100</f>
        <v>-0.64196867639157995</v>
      </c>
      <c r="IH13" s="411">
        <f t="shared" ref="IH13" si="151">(IH12/HU12-1)*100</f>
        <v>-4.4642637344602605</v>
      </c>
      <c r="II13" s="411">
        <f t="shared" ref="II13" si="152">(II12/HV12-1)*100</f>
        <v>-2.6925121661963813</v>
      </c>
      <c r="IJ13" s="411">
        <f t="shared" ref="IJ13" si="153">(IJ12/HW12-1)*100</f>
        <v>2.1642221717977472</v>
      </c>
      <c r="IK13" s="411">
        <f t="shared" ref="IK13" si="154">(IK12/HX12-1)*100</f>
        <v>9.4813300439350776</v>
      </c>
      <c r="IL13" s="464">
        <f t="shared" ref="IL13" si="155">(IL12/HY12-1)*100</f>
        <v>-3.873884548963491</v>
      </c>
      <c r="IM13" s="411">
        <f>(IM12/HZ12-1)*100</f>
        <v>4.1744930103318145</v>
      </c>
      <c r="IN13" s="501">
        <f>(IN12/IA12-1)*100</f>
        <v>-1.219497244177925</v>
      </c>
      <c r="IO13" s="501">
        <f t="shared" ref="IO13:IX13" si="156">(IO12/IB12-1)*100</f>
        <v>6.6092364568947071</v>
      </c>
      <c r="IP13" s="501">
        <f t="shared" si="156"/>
        <v>4.1889243794777986</v>
      </c>
      <c r="IQ13" s="501">
        <f t="shared" si="156"/>
        <v>3.6589818104439287</v>
      </c>
      <c r="IR13" s="501">
        <f t="shared" si="156"/>
        <v>4.3090412703246095</v>
      </c>
      <c r="IS13" s="501">
        <f t="shared" si="156"/>
        <v>10.360533893339596</v>
      </c>
      <c r="IT13" s="501">
        <f t="shared" si="156"/>
        <v>8.498501683396654</v>
      </c>
      <c r="IU13" s="501">
        <f t="shared" si="156"/>
        <v>1.3477604072162475</v>
      </c>
      <c r="IV13" s="501">
        <f t="shared" si="156"/>
        <v>5.9648535528155966</v>
      </c>
      <c r="IW13" s="501">
        <f t="shared" si="156"/>
        <v>10.037320349908896</v>
      </c>
      <c r="IX13" s="501">
        <f t="shared" si="156"/>
        <v>5.6044040887928137</v>
      </c>
      <c r="IY13" s="464">
        <f t="shared" ref="IY13" si="157">(IY12/IL12-1)*100</f>
        <v>5.2863889330381442</v>
      </c>
      <c r="IZ13" s="501">
        <f>(IZ12/IM12-1)*100</f>
        <v>1.2772472702365034</v>
      </c>
      <c r="JA13" s="501">
        <f>(JA12/IN12-1)*100</f>
        <v>6.124004893530266</v>
      </c>
      <c r="JB13" s="501">
        <f t="shared" ref="JB13:JK13" si="158">(JB12/IO12-1)*100</f>
        <v>4.0137652625657605</v>
      </c>
      <c r="JC13" s="501">
        <f t="shared" si="158"/>
        <v>6.0210341805433831</v>
      </c>
      <c r="JD13" s="501">
        <f t="shared" si="158"/>
        <v>12.206166478827885</v>
      </c>
      <c r="JE13" s="501">
        <f t="shared" si="158"/>
        <v>4.0471056559960195</v>
      </c>
      <c r="JF13" s="501">
        <f t="shared" si="158"/>
        <v>1.3281161208618109</v>
      </c>
      <c r="JG13" s="501">
        <f t="shared" si="158"/>
        <v>1.9933300111166563</v>
      </c>
      <c r="JH13" s="501">
        <f t="shared" si="158"/>
        <v>5.0302805586454058</v>
      </c>
      <c r="JI13" s="501">
        <f t="shared" si="158"/>
        <v>10.508345978755695</v>
      </c>
      <c r="JJ13" s="501">
        <f t="shared" si="158"/>
        <v>-3.1198347107437963</v>
      </c>
      <c r="JK13" s="501">
        <f t="shared" si="158"/>
        <v>9.4771741902575979</v>
      </c>
      <c r="JL13" s="510">
        <f t="shared" ref="JL13" si="159">(JL12/IY12-1)*100</f>
        <v>4.8075150883947426</v>
      </c>
      <c r="JM13" s="501">
        <f t="shared" si="117"/>
        <v>2.5799649904519439</v>
      </c>
      <c r="JN13" s="564">
        <f>(JN12/JA12-1)*100</f>
        <v>0.30740957313508677</v>
      </c>
    </row>
    <row r="14" spans="1:274" ht="13.5" customHeight="1" x14ac:dyDescent="0.3">
      <c r="A14" s="544"/>
      <c r="B14" s="45" t="s">
        <v>103</v>
      </c>
      <c r="C14" s="187">
        <v>24830</v>
      </c>
      <c r="D14" s="188">
        <v>27070</v>
      </c>
      <c r="E14" s="189">
        <v>27332</v>
      </c>
      <c r="F14" s="188">
        <v>23355</v>
      </c>
      <c r="G14" s="189">
        <v>20465</v>
      </c>
      <c r="H14" s="188">
        <v>19349</v>
      </c>
      <c r="I14" s="189">
        <v>21186</v>
      </c>
      <c r="J14" s="188">
        <v>21116</v>
      </c>
      <c r="K14" s="189">
        <v>21510</v>
      </c>
      <c r="L14" s="188">
        <v>17851</v>
      </c>
      <c r="M14" s="190">
        <v>17377</v>
      </c>
      <c r="N14" s="191">
        <f>SUM(AA14:AL14)</f>
        <v>18910</v>
      </c>
      <c r="O14" s="189">
        <v>1268</v>
      </c>
      <c r="P14" s="188">
        <v>1492</v>
      </c>
      <c r="Q14" s="188">
        <v>1508</v>
      </c>
      <c r="R14" s="188">
        <v>1415</v>
      </c>
      <c r="S14" s="188">
        <v>1299</v>
      </c>
      <c r="T14" s="188">
        <v>1458</v>
      </c>
      <c r="U14" s="188">
        <v>1451</v>
      </c>
      <c r="V14" s="188">
        <v>1282</v>
      </c>
      <c r="W14" s="188">
        <v>1526</v>
      </c>
      <c r="X14" s="188">
        <v>1539</v>
      </c>
      <c r="Y14" s="188">
        <v>1590</v>
      </c>
      <c r="Z14" s="188">
        <v>1549</v>
      </c>
      <c r="AA14" s="189">
        <v>1415</v>
      </c>
      <c r="AB14" s="188">
        <v>1588</v>
      </c>
      <c r="AC14" s="189">
        <v>1640</v>
      </c>
      <c r="AD14" s="188">
        <v>1602</v>
      </c>
      <c r="AE14" s="189">
        <v>1470</v>
      </c>
      <c r="AF14" s="188">
        <v>1676</v>
      </c>
      <c r="AG14" s="189">
        <v>1620</v>
      </c>
      <c r="AH14" s="188">
        <v>1387</v>
      </c>
      <c r="AI14" s="189">
        <v>1618</v>
      </c>
      <c r="AJ14" s="188">
        <v>1662</v>
      </c>
      <c r="AK14" s="189">
        <v>1613</v>
      </c>
      <c r="AL14" s="188">
        <v>1619</v>
      </c>
      <c r="AM14" s="189">
        <f>SUM(AN14:AY14)</f>
        <v>17958</v>
      </c>
      <c r="AN14" s="226">
        <v>1411</v>
      </c>
      <c r="AO14" s="189">
        <v>1650</v>
      </c>
      <c r="AP14" s="227">
        <v>1663</v>
      </c>
      <c r="AQ14" s="194">
        <v>1647</v>
      </c>
      <c r="AR14" s="194">
        <v>1389</v>
      </c>
      <c r="AS14" s="194">
        <v>1551</v>
      </c>
      <c r="AT14" s="194">
        <v>1527</v>
      </c>
      <c r="AU14" s="194">
        <v>1313</v>
      </c>
      <c r="AV14" s="194">
        <v>1514</v>
      </c>
      <c r="AW14" s="194">
        <v>1502</v>
      </c>
      <c r="AX14" s="194">
        <v>1433</v>
      </c>
      <c r="AY14" s="195">
        <v>1358</v>
      </c>
      <c r="AZ14" s="196">
        <f>SUM(BA14:BL14)</f>
        <v>17625</v>
      </c>
      <c r="BA14" s="228">
        <v>1201</v>
      </c>
      <c r="BB14" s="198">
        <v>1418</v>
      </c>
      <c r="BC14" s="198">
        <v>1432</v>
      </c>
      <c r="BD14" s="198">
        <v>1396</v>
      </c>
      <c r="BE14" s="198">
        <v>1392</v>
      </c>
      <c r="BF14" s="198">
        <v>1511</v>
      </c>
      <c r="BG14" s="198">
        <v>1569</v>
      </c>
      <c r="BH14" s="198">
        <v>1306</v>
      </c>
      <c r="BI14" s="198">
        <v>1614</v>
      </c>
      <c r="BJ14" s="198">
        <v>1593</v>
      </c>
      <c r="BK14" s="198">
        <v>1600</v>
      </c>
      <c r="BL14" s="198">
        <v>1593</v>
      </c>
      <c r="BM14" s="199">
        <v>1415</v>
      </c>
      <c r="BN14" s="199">
        <v>1619</v>
      </c>
      <c r="BO14" s="199">
        <v>1702</v>
      </c>
      <c r="BP14" s="199">
        <v>1687</v>
      </c>
      <c r="BQ14" s="199">
        <v>1529</v>
      </c>
      <c r="BR14" s="199">
        <v>1864</v>
      </c>
      <c r="BS14" s="199">
        <v>1819</v>
      </c>
      <c r="BT14" s="199">
        <v>1509</v>
      </c>
      <c r="BU14" s="199">
        <v>1865</v>
      </c>
      <c r="BV14" s="199">
        <v>1909</v>
      </c>
      <c r="BW14" s="199">
        <v>1868</v>
      </c>
      <c r="BX14" s="199">
        <v>1827</v>
      </c>
      <c r="BY14" s="168">
        <f>SUM(BM14:BX14)</f>
        <v>20613</v>
      </c>
      <c r="BZ14" s="198">
        <v>1671</v>
      </c>
      <c r="CA14" s="198">
        <v>1934</v>
      </c>
      <c r="CB14" s="198">
        <v>2044</v>
      </c>
      <c r="CC14" s="198">
        <v>2008</v>
      </c>
      <c r="CD14" s="198">
        <v>1779</v>
      </c>
      <c r="CE14" s="235">
        <v>2042</v>
      </c>
      <c r="CF14" s="236">
        <v>2084</v>
      </c>
      <c r="CG14" s="236">
        <v>1828</v>
      </c>
      <c r="CH14" s="236">
        <v>2082</v>
      </c>
      <c r="CI14" s="236">
        <v>2101</v>
      </c>
      <c r="CJ14" s="236">
        <v>2147.375</v>
      </c>
      <c r="CK14" s="343">
        <v>2065</v>
      </c>
      <c r="CL14" s="345">
        <f>SUM(BZ14:CK14)</f>
        <v>23785.375</v>
      </c>
      <c r="CM14" s="277">
        <v>1899</v>
      </c>
      <c r="CN14" s="278">
        <v>2124</v>
      </c>
      <c r="CO14" s="278">
        <v>2265</v>
      </c>
      <c r="CP14" s="361">
        <v>2268</v>
      </c>
      <c r="CQ14" s="361">
        <v>2036</v>
      </c>
      <c r="CR14" s="361">
        <v>2307</v>
      </c>
      <c r="CS14" s="361">
        <v>2240</v>
      </c>
      <c r="CT14" s="361">
        <v>2043</v>
      </c>
      <c r="CU14" s="361">
        <v>2338</v>
      </c>
      <c r="CV14" s="361">
        <v>2319</v>
      </c>
      <c r="CW14" s="361">
        <v>2346</v>
      </c>
      <c r="CX14" s="353">
        <v>2327</v>
      </c>
      <c r="CY14" s="345">
        <f>SUM(CM14:CX14)</f>
        <v>26512</v>
      </c>
      <c r="CZ14" s="361">
        <v>2035</v>
      </c>
      <c r="DA14" s="361">
        <v>2349</v>
      </c>
      <c r="DB14" s="361">
        <v>2399</v>
      </c>
      <c r="DC14" s="361">
        <v>2479</v>
      </c>
      <c r="DD14" s="361">
        <v>2145</v>
      </c>
      <c r="DE14" s="361">
        <v>2478</v>
      </c>
      <c r="DF14" s="361">
        <v>2427</v>
      </c>
      <c r="DG14" s="361">
        <v>2095</v>
      </c>
      <c r="DH14" s="361">
        <v>2449</v>
      </c>
      <c r="DI14" s="361">
        <v>2522</v>
      </c>
      <c r="DJ14" s="361">
        <v>2463</v>
      </c>
      <c r="DK14" s="361">
        <v>2331</v>
      </c>
      <c r="DL14" s="345">
        <f>SUM(CZ14:DK14)</f>
        <v>28172</v>
      </c>
      <c r="DM14" s="361">
        <v>2129</v>
      </c>
      <c r="DN14" s="361">
        <v>2486</v>
      </c>
      <c r="DO14" s="361">
        <v>2575</v>
      </c>
      <c r="DP14" s="361">
        <v>2592</v>
      </c>
      <c r="DQ14" s="361">
        <v>2340</v>
      </c>
      <c r="DR14" s="361">
        <v>2657</v>
      </c>
      <c r="DS14" s="361">
        <v>2638</v>
      </c>
      <c r="DT14" s="361">
        <v>2241</v>
      </c>
      <c r="DU14" s="361">
        <v>2650</v>
      </c>
      <c r="DV14" s="361">
        <v>2781</v>
      </c>
      <c r="DW14" s="361">
        <v>2804</v>
      </c>
      <c r="DX14" s="278">
        <v>2655</v>
      </c>
      <c r="DY14" s="385">
        <f>SUM(DM14:DX14)</f>
        <v>30548</v>
      </c>
      <c r="DZ14" s="391">
        <v>2331</v>
      </c>
      <c r="EA14" s="391">
        <v>2808</v>
      </c>
      <c r="EB14" s="391">
        <v>2855</v>
      </c>
      <c r="EC14" s="391">
        <v>2748</v>
      </c>
      <c r="ED14" s="391">
        <v>2561</v>
      </c>
      <c r="EE14" s="391">
        <v>2884</v>
      </c>
      <c r="EF14" s="391">
        <v>2850</v>
      </c>
      <c r="EG14" s="391">
        <v>2301</v>
      </c>
      <c r="EH14" s="391">
        <v>2839</v>
      </c>
      <c r="EI14" s="391">
        <v>2779</v>
      </c>
      <c r="EJ14" s="391">
        <v>2486</v>
      </c>
      <c r="EK14" s="391">
        <v>2057</v>
      </c>
      <c r="EL14" s="385">
        <f>SUM(DZ14:EK14)</f>
        <v>31499</v>
      </c>
      <c r="EM14" s="391">
        <v>1460</v>
      </c>
      <c r="EN14" s="391">
        <v>1342</v>
      </c>
      <c r="EO14" s="391">
        <v>1221</v>
      </c>
      <c r="EP14" s="391">
        <v>1255.617</v>
      </c>
      <c r="EQ14" s="391">
        <v>1180.08</v>
      </c>
      <c r="ER14" s="391">
        <v>1483.2170000000001</v>
      </c>
      <c r="ES14" s="391">
        <v>1537.7439999999999</v>
      </c>
      <c r="ET14" s="391">
        <v>1300.646</v>
      </c>
      <c r="EU14" s="391">
        <v>1668.6410000000001</v>
      </c>
      <c r="EV14" s="391">
        <v>1775.65</v>
      </c>
      <c r="EW14" s="391">
        <v>1836.885</v>
      </c>
      <c r="EX14" s="391">
        <v>1794.0039999999999</v>
      </c>
      <c r="EY14" s="385">
        <f>SUM(EM14:EX14)</f>
        <v>17855.484</v>
      </c>
      <c r="EZ14" s="391">
        <v>1708.5419999999999</v>
      </c>
      <c r="FA14" s="391">
        <v>1977.703</v>
      </c>
      <c r="FB14" s="391">
        <v>2194.855</v>
      </c>
      <c r="FC14" s="391">
        <v>2022.1189999999999</v>
      </c>
      <c r="FD14" s="391">
        <v>1867.473</v>
      </c>
      <c r="FE14" s="391">
        <v>2276.509</v>
      </c>
      <c r="FF14" s="391">
        <v>2228.0619999999999</v>
      </c>
      <c r="FG14" s="391">
        <v>1968.954</v>
      </c>
      <c r="FH14" s="391">
        <v>2256.123</v>
      </c>
      <c r="FI14" s="391">
        <v>2210.9830000000002</v>
      </c>
      <c r="FJ14" s="391">
        <v>2325.8829999999998</v>
      </c>
      <c r="FK14" s="391">
        <v>2275.0479999999998</v>
      </c>
      <c r="FL14" s="385">
        <f>SUM(EZ14:FK14)</f>
        <v>25312.253999999997</v>
      </c>
      <c r="FM14" s="391">
        <v>2028.2909999999999</v>
      </c>
      <c r="FN14" s="391">
        <v>2372.2600000000002</v>
      </c>
      <c r="FO14" s="391">
        <v>2301.7089999999998</v>
      </c>
      <c r="FP14" s="391">
        <v>2077.9009999999998</v>
      </c>
      <c r="FQ14" s="391">
        <v>1925.6559999999999</v>
      </c>
      <c r="FR14" s="391">
        <v>2342.9690000000001</v>
      </c>
      <c r="FS14" s="391">
        <v>2330.7730000000001</v>
      </c>
      <c r="FT14" s="391">
        <v>2015.8330000000001</v>
      </c>
      <c r="FU14" s="391">
        <v>2468.7069999999999</v>
      </c>
      <c r="FV14" s="391">
        <v>2529.7550000000001</v>
      </c>
      <c r="FW14" s="391">
        <v>2533.9520000000002</v>
      </c>
      <c r="FX14" s="391">
        <v>2603.7869999999998</v>
      </c>
      <c r="FY14" s="385">
        <f>SUM(FM14:FX14)</f>
        <v>27531.593000000001</v>
      </c>
      <c r="FZ14" s="391">
        <v>2129.5</v>
      </c>
      <c r="GA14" s="391">
        <v>2450.9609999999998</v>
      </c>
      <c r="GB14" s="391">
        <v>2464.2759999999998</v>
      </c>
      <c r="GC14" s="391">
        <v>2422.1370000000002</v>
      </c>
      <c r="GD14" s="415">
        <v>2195.2660000000001</v>
      </c>
      <c r="GE14" s="415">
        <v>2483.7919999999999</v>
      </c>
      <c r="GF14" s="415">
        <v>2452.3449999999998</v>
      </c>
      <c r="GG14" s="415">
        <v>1942.134</v>
      </c>
      <c r="GH14" s="415">
        <v>2257.44</v>
      </c>
      <c r="GI14" s="415">
        <v>2277.6819999999998</v>
      </c>
      <c r="GJ14" s="415">
        <v>2086.1350000000002</v>
      </c>
      <c r="GK14" s="415">
        <v>1917.9169999999999</v>
      </c>
      <c r="GL14" s="385">
        <f>SUM(FZ14:GK14)</f>
        <v>27079.584999999999</v>
      </c>
      <c r="GM14" s="391">
        <v>1866.8530000000001</v>
      </c>
      <c r="GN14" s="391">
        <v>2166.884</v>
      </c>
      <c r="GO14" s="391">
        <v>2232.7089999999998</v>
      </c>
      <c r="GP14" s="391">
        <v>2305.83</v>
      </c>
      <c r="GQ14" s="391">
        <v>2229.567</v>
      </c>
      <c r="GR14" s="391">
        <v>2401.6439999999998</v>
      </c>
      <c r="GS14" s="391">
        <v>2542.951</v>
      </c>
      <c r="GT14" s="391">
        <v>2070.21</v>
      </c>
      <c r="GU14" s="391">
        <v>2565.6179999999999</v>
      </c>
      <c r="GV14" s="391">
        <v>2575.3829999999998</v>
      </c>
      <c r="GW14" s="391">
        <v>2519.8029999999999</v>
      </c>
      <c r="GX14" s="391">
        <v>2418.674</v>
      </c>
      <c r="GY14" s="385">
        <f>SUM(GM14:GX14)</f>
        <v>27896.125999999997</v>
      </c>
      <c r="GZ14" s="391">
        <v>2216.9299999999998</v>
      </c>
      <c r="HA14" s="391">
        <v>2476.2359999999999</v>
      </c>
      <c r="HB14" s="391">
        <v>2552.877</v>
      </c>
      <c r="HC14" s="391">
        <v>2499.3240000000001</v>
      </c>
      <c r="HD14" s="391">
        <v>2343.5369999999998</v>
      </c>
      <c r="HE14" s="391">
        <v>2660.6770000000001</v>
      </c>
      <c r="HF14" s="391">
        <v>2690.4969999999998</v>
      </c>
      <c r="HG14" s="391">
        <v>2132.7130000000002</v>
      </c>
      <c r="HH14" s="391">
        <v>2746.81</v>
      </c>
      <c r="HI14" s="391">
        <v>2708.8820000000001</v>
      </c>
      <c r="HJ14" s="391">
        <v>2500.826</v>
      </c>
      <c r="HK14" s="391">
        <v>2470.3490000000002</v>
      </c>
      <c r="HL14" s="385">
        <f>SUM(GZ14:HK14)</f>
        <v>29999.658000000003</v>
      </c>
      <c r="HM14" s="391">
        <v>2303.3389999999999</v>
      </c>
      <c r="HN14" s="277">
        <v>2531.88</v>
      </c>
      <c r="HO14" s="429">
        <v>2624.4969999999998</v>
      </c>
      <c r="HP14" s="426">
        <v>2494.4</v>
      </c>
      <c r="HQ14" s="433">
        <v>2225.1880000000001</v>
      </c>
      <c r="HR14" s="433">
        <v>2725.92</v>
      </c>
      <c r="HS14" s="433">
        <v>2556.261</v>
      </c>
      <c r="HT14" s="433">
        <v>2110.8850000000002</v>
      </c>
      <c r="HU14" s="433">
        <v>2520.2489999999998</v>
      </c>
      <c r="HV14" s="433">
        <v>2466.598</v>
      </c>
      <c r="HW14" s="433">
        <v>2454.2220000000002</v>
      </c>
      <c r="HX14" s="433">
        <v>2242.9349999999999</v>
      </c>
      <c r="HY14" s="461">
        <f>SUM(HM14:HX14)</f>
        <v>29256.374000000007</v>
      </c>
      <c r="HZ14" s="467">
        <v>2090700</v>
      </c>
      <c r="IA14" s="467">
        <v>2500765</v>
      </c>
      <c r="IB14" s="467">
        <v>2528032</v>
      </c>
      <c r="IC14" s="467">
        <v>2418380</v>
      </c>
      <c r="ID14" s="467">
        <v>2114992</v>
      </c>
      <c r="IE14" s="467">
        <v>2614722</v>
      </c>
      <c r="IF14" s="467">
        <v>2481172</v>
      </c>
      <c r="IG14" s="467">
        <v>2160975</v>
      </c>
      <c r="IH14" s="467">
        <v>2488498</v>
      </c>
      <c r="II14" s="467">
        <v>2443399</v>
      </c>
      <c r="IJ14" s="467">
        <v>2571647</v>
      </c>
      <c r="IK14" s="467">
        <v>2476558</v>
      </c>
      <c r="IL14" s="468">
        <f>SUM(HZ14:IK14)</f>
        <v>28889840</v>
      </c>
      <c r="IM14" s="467">
        <v>2205194</v>
      </c>
      <c r="IN14" s="467">
        <v>2511545</v>
      </c>
      <c r="IO14" s="467">
        <v>2720937</v>
      </c>
      <c r="IP14" s="467">
        <v>2531409</v>
      </c>
      <c r="IQ14" s="467">
        <v>2222904</v>
      </c>
      <c r="IR14" s="467">
        <v>2686683</v>
      </c>
      <c r="IS14" s="467">
        <v>2697708</v>
      </c>
      <c r="IT14" s="467">
        <v>2274739</v>
      </c>
      <c r="IU14" s="467">
        <v>2594059</v>
      </c>
      <c r="IV14" s="467">
        <v>2759758</v>
      </c>
      <c r="IW14" s="467">
        <v>2748501</v>
      </c>
      <c r="IX14" s="467">
        <v>2597104</v>
      </c>
      <c r="IY14" s="468">
        <f>SUM(IM14:IX14)</f>
        <v>30550541</v>
      </c>
      <c r="IZ14" s="467">
        <v>2265783</v>
      </c>
      <c r="JA14" s="467">
        <v>2596778</v>
      </c>
      <c r="JB14" s="467">
        <v>2744522</v>
      </c>
      <c r="JC14" s="467">
        <v>2648502</v>
      </c>
      <c r="JD14" s="467">
        <v>2415908</v>
      </c>
      <c r="JE14" s="467">
        <v>2806409</v>
      </c>
      <c r="JF14" s="520">
        <v>2737</v>
      </c>
      <c r="JG14" s="520">
        <v>2268</v>
      </c>
      <c r="JH14" s="520">
        <v>2618</v>
      </c>
      <c r="JI14" s="520">
        <v>2846</v>
      </c>
      <c r="JJ14" s="520">
        <v>2684</v>
      </c>
      <c r="JK14" s="522">
        <v>2571</v>
      </c>
      <c r="JL14" s="524">
        <v>31203</v>
      </c>
      <c r="JM14" s="522">
        <v>2243</v>
      </c>
      <c r="JN14" s="565">
        <v>2649</v>
      </c>
    </row>
    <row r="15" spans="1:274" ht="13.5" customHeight="1" thickBot="1" x14ac:dyDescent="0.35">
      <c r="A15" s="551"/>
      <c r="B15" s="44" t="s">
        <v>102</v>
      </c>
      <c r="C15" s="201"/>
      <c r="D15" s="202">
        <f t="shared" ref="D15:M15" si="160">(D14/C14-1)*100</f>
        <v>9.0213451469995931</v>
      </c>
      <c r="E15" s="202">
        <f t="shared" si="160"/>
        <v>0.96786110084965404</v>
      </c>
      <c r="F15" s="202">
        <f t="shared" si="160"/>
        <v>-14.550709790721495</v>
      </c>
      <c r="G15" s="202">
        <f t="shared" si="160"/>
        <v>-12.374223934917572</v>
      </c>
      <c r="H15" s="202">
        <f t="shared" si="160"/>
        <v>-5.4532128023454636</v>
      </c>
      <c r="I15" s="202">
        <f t="shared" si="160"/>
        <v>9.4940306992609358</v>
      </c>
      <c r="J15" s="202">
        <f t="shared" si="160"/>
        <v>-0.33040687246295164</v>
      </c>
      <c r="K15" s="202">
        <f t="shared" si="160"/>
        <v>1.8658836900928177</v>
      </c>
      <c r="L15" s="202">
        <f t="shared" si="160"/>
        <v>-17.010692701069274</v>
      </c>
      <c r="M15" s="202">
        <f t="shared" si="160"/>
        <v>-2.6553134278191726</v>
      </c>
      <c r="N15" s="202">
        <f>(N14/M14-1)*100</f>
        <v>8.8220061000172656</v>
      </c>
      <c r="O15" s="203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5"/>
      <c r="AA15" s="202">
        <f t="shared" ref="AA15:AL15" si="161">(AA14/O14-1)*100</f>
        <v>11.593059936908512</v>
      </c>
      <c r="AB15" s="202">
        <f t="shared" si="161"/>
        <v>6.4343163538874037</v>
      </c>
      <c r="AC15" s="202">
        <f t="shared" si="161"/>
        <v>8.7533156498673659</v>
      </c>
      <c r="AD15" s="202">
        <f t="shared" si="161"/>
        <v>13.215547703180208</v>
      </c>
      <c r="AE15" s="202">
        <f t="shared" si="161"/>
        <v>13.163972286374136</v>
      </c>
      <c r="AF15" s="202">
        <f t="shared" si="161"/>
        <v>14.951989026063096</v>
      </c>
      <c r="AG15" s="202">
        <f t="shared" si="161"/>
        <v>11.647139903514825</v>
      </c>
      <c r="AH15" s="202">
        <f t="shared" si="161"/>
        <v>8.19032761310452</v>
      </c>
      <c r="AI15" s="202">
        <f t="shared" si="161"/>
        <v>6.0288335517693303</v>
      </c>
      <c r="AJ15" s="202">
        <f t="shared" si="161"/>
        <v>7.9922027290448394</v>
      </c>
      <c r="AK15" s="202">
        <f t="shared" si="161"/>
        <v>1.4465408805031554</v>
      </c>
      <c r="AL15" s="206">
        <f t="shared" si="161"/>
        <v>4.5190445448676675</v>
      </c>
      <c r="AM15" s="202">
        <f>(AM14/N14-1)*100</f>
        <v>-5.034373347435217</v>
      </c>
      <c r="AN15" s="207">
        <f t="shared" ref="AN15:AY15" si="162">(AN14/AA14-1)*100</f>
        <v>-0.28268551236748651</v>
      </c>
      <c r="AO15" s="202">
        <f t="shared" si="162"/>
        <v>3.9042821158690177</v>
      </c>
      <c r="AP15" s="206">
        <f t="shared" si="162"/>
        <v>1.402439024390234</v>
      </c>
      <c r="AQ15" s="202">
        <f t="shared" si="162"/>
        <v>2.8089887640449396</v>
      </c>
      <c r="AR15" s="202">
        <f t="shared" si="162"/>
        <v>-5.5102040816326525</v>
      </c>
      <c r="AS15" s="208">
        <f t="shared" si="162"/>
        <v>-7.4582338902147942</v>
      </c>
      <c r="AT15" s="202">
        <f t="shared" si="162"/>
        <v>-5.7407407407407458</v>
      </c>
      <c r="AU15" s="208">
        <f t="shared" si="162"/>
        <v>-5.3352559480894008</v>
      </c>
      <c r="AV15" s="202">
        <f t="shared" si="162"/>
        <v>-6.4276885043263343</v>
      </c>
      <c r="AW15" s="208">
        <f t="shared" si="162"/>
        <v>-9.6269554753309237</v>
      </c>
      <c r="AX15" s="202">
        <f t="shared" si="162"/>
        <v>-11.159330440173587</v>
      </c>
      <c r="AY15" s="209">
        <f t="shared" si="162"/>
        <v>-16.121062384187766</v>
      </c>
      <c r="AZ15" s="210">
        <f t="shared" ref="AZ15:BL15" si="163">(AZ14/AM14-1)*100</f>
        <v>-1.8543267624457016</v>
      </c>
      <c r="BA15" s="211">
        <f t="shared" si="163"/>
        <v>-14.883061658398301</v>
      </c>
      <c r="BB15" s="212">
        <f t="shared" si="163"/>
        <v>-14.060606060606062</v>
      </c>
      <c r="BC15" s="212">
        <f t="shared" si="163"/>
        <v>-13.890559230306676</v>
      </c>
      <c r="BD15" s="212">
        <f t="shared" si="163"/>
        <v>-15.239829993928355</v>
      </c>
      <c r="BE15" s="212">
        <f t="shared" si="163"/>
        <v>0.21598272138227959</v>
      </c>
      <c r="BF15" s="212">
        <f t="shared" si="163"/>
        <v>-2.5789813023855523</v>
      </c>
      <c r="BG15" s="212">
        <f t="shared" si="163"/>
        <v>2.7504911591355707</v>
      </c>
      <c r="BH15" s="212">
        <f t="shared" si="163"/>
        <v>-0.5331302361005319</v>
      </c>
      <c r="BI15" s="212">
        <f t="shared" si="163"/>
        <v>6.6050198150594541</v>
      </c>
      <c r="BJ15" s="212">
        <f t="shared" si="163"/>
        <v>6.058588548601862</v>
      </c>
      <c r="BK15" s="212">
        <f t="shared" si="163"/>
        <v>11.653872993719471</v>
      </c>
      <c r="BL15" s="212">
        <f t="shared" si="163"/>
        <v>17.304860088365249</v>
      </c>
      <c r="BM15" s="213">
        <f t="shared" ref="BM15:BX15" si="164">(BM14/BA14-1)*100</f>
        <v>17.81848459616986</v>
      </c>
      <c r="BN15" s="213">
        <f t="shared" si="164"/>
        <v>14.174894217207324</v>
      </c>
      <c r="BO15" s="213">
        <f t="shared" si="164"/>
        <v>18.854748603351943</v>
      </c>
      <c r="BP15" s="213">
        <f t="shared" si="164"/>
        <v>20.845272206303722</v>
      </c>
      <c r="BQ15" s="213">
        <f t="shared" si="164"/>
        <v>9.8419540229885083</v>
      </c>
      <c r="BR15" s="213">
        <f t="shared" si="164"/>
        <v>23.362011912640646</v>
      </c>
      <c r="BS15" s="213">
        <f t="shared" si="164"/>
        <v>15.933715742511145</v>
      </c>
      <c r="BT15" s="213">
        <f t="shared" si="164"/>
        <v>15.543644716692185</v>
      </c>
      <c r="BU15" s="213">
        <f t="shared" si="164"/>
        <v>15.551425030978926</v>
      </c>
      <c r="BV15" s="213">
        <f t="shared" si="164"/>
        <v>19.836785938480862</v>
      </c>
      <c r="BW15" s="213">
        <f t="shared" si="164"/>
        <v>16.75</v>
      </c>
      <c r="BX15" s="213">
        <f t="shared" si="164"/>
        <v>14.689265536723163</v>
      </c>
      <c r="BY15" s="182">
        <f>(BY14/AZ14-1)*100</f>
        <v>16.953191489361696</v>
      </c>
      <c r="BZ15" s="215">
        <f t="shared" ref="BZ15:CK15" si="165">(BZ14/BM14-1)*100</f>
        <v>18.091872791519425</v>
      </c>
      <c r="CA15" s="215">
        <f t="shared" si="165"/>
        <v>19.45645460160592</v>
      </c>
      <c r="CB15" s="215">
        <f t="shared" si="165"/>
        <v>20.094007050528795</v>
      </c>
      <c r="CC15" s="215">
        <f t="shared" si="165"/>
        <v>19.027860106698281</v>
      </c>
      <c r="CD15" s="215">
        <f t="shared" si="165"/>
        <v>16.350555918901243</v>
      </c>
      <c r="CE15" s="216">
        <f t="shared" si="165"/>
        <v>9.5493562231759643</v>
      </c>
      <c r="CF15" s="217">
        <f t="shared" si="165"/>
        <v>14.568444200109942</v>
      </c>
      <c r="CG15" s="217">
        <f t="shared" si="165"/>
        <v>21.139827700463876</v>
      </c>
      <c r="CH15" s="217">
        <f t="shared" si="165"/>
        <v>11.635388739946384</v>
      </c>
      <c r="CI15" s="217">
        <f t="shared" si="165"/>
        <v>10.057621791513881</v>
      </c>
      <c r="CJ15" s="217">
        <f t="shared" si="165"/>
        <v>14.95583511777301</v>
      </c>
      <c r="CK15" s="342">
        <f t="shared" si="165"/>
        <v>13.026819923371647</v>
      </c>
      <c r="CL15" s="181">
        <f t="shared" ref="CL15:EL15" si="166">(CL14/BY14-1)*100</f>
        <v>15.390166399844762</v>
      </c>
      <c r="CM15" s="273">
        <f t="shared" si="166"/>
        <v>13.644524236983834</v>
      </c>
      <c r="CN15" s="274">
        <f t="shared" si="166"/>
        <v>9.8241985522233612</v>
      </c>
      <c r="CO15" s="274">
        <f t="shared" si="166"/>
        <v>10.812133072407049</v>
      </c>
      <c r="CP15" s="359">
        <f t="shared" si="166"/>
        <v>12.948207171314753</v>
      </c>
      <c r="CQ15" s="359">
        <f t="shared" si="166"/>
        <v>14.446318156267557</v>
      </c>
      <c r="CR15" s="359">
        <f t="shared" si="166"/>
        <v>12.977473065621936</v>
      </c>
      <c r="CS15" s="359">
        <f t="shared" si="166"/>
        <v>7.4856046065259196</v>
      </c>
      <c r="CT15" s="359">
        <f t="shared" si="166"/>
        <v>11.761487964989058</v>
      </c>
      <c r="CU15" s="359">
        <f t="shared" si="166"/>
        <v>12.295869356388089</v>
      </c>
      <c r="CV15" s="359">
        <f t="shared" si="166"/>
        <v>10.376011423131848</v>
      </c>
      <c r="CW15" s="359">
        <f t="shared" si="166"/>
        <v>9.2496652890156525</v>
      </c>
      <c r="CX15" s="351">
        <f t="shared" si="166"/>
        <v>12.687651331719119</v>
      </c>
      <c r="CY15" s="181">
        <f t="shared" si="166"/>
        <v>11.463451805994239</v>
      </c>
      <c r="CZ15" s="359">
        <f t="shared" si="166"/>
        <v>7.1616640337019533</v>
      </c>
      <c r="DA15" s="359">
        <f t="shared" si="166"/>
        <v>10.593220338983045</v>
      </c>
      <c r="DB15" s="359">
        <f t="shared" si="166"/>
        <v>5.9161147902869748</v>
      </c>
      <c r="DC15" s="359">
        <f t="shared" si="166"/>
        <v>9.3033509700176431</v>
      </c>
      <c r="DD15" s="359">
        <f t="shared" si="166"/>
        <v>5.3536345776031391</v>
      </c>
      <c r="DE15" s="359">
        <f t="shared" si="166"/>
        <v>7.4122236671001263</v>
      </c>
      <c r="DF15" s="359">
        <f t="shared" si="166"/>
        <v>8.3482142857142847</v>
      </c>
      <c r="DG15" s="359">
        <f t="shared" si="166"/>
        <v>2.5452765540871169</v>
      </c>
      <c r="DH15" s="359">
        <f t="shared" si="166"/>
        <v>4.7476475620188197</v>
      </c>
      <c r="DI15" s="359">
        <f t="shared" si="166"/>
        <v>8.7537731780940042</v>
      </c>
      <c r="DJ15" s="359">
        <f t="shared" si="166"/>
        <v>4.9872122762148363</v>
      </c>
      <c r="DK15" s="359">
        <f t="shared" si="166"/>
        <v>0.1718951439621863</v>
      </c>
      <c r="DL15" s="181">
        <f t="shared" si="166"/>
        <v>6.2613156306578155</v>
      </c>
      <c r="DM15" s="359">
        <f t="shared" si="166"/>
        <v>4.6191646191646285</v>
      </c>
      <c r="DN15" s="359">
        <f t="shared" si="166"/>
        <v>5.8322690506598551</v>
      </c>
      <c r="DO15" s="359">
        <f t="shared" si="166"/>
        <v>7.3363901625677297</v>
      </c>
      <c r="DP15" s="359">
        <f t="shared" si="166"/>
        <v>4.5582896329164901</v>
      </c>
      <c r="DQ15" s="359">
        <f t="shared" si="166"/>
        <v>9.0909090909090828</v>
      </c>
      <c r="DR15" s="359">
        <f t="shared" si="166"/>
        <v>7.2235673930589162</v>
      </c>
      <c r="DS15" s="359">
        <f t="shared" si="166"/>
        <v>8.6938607334157361</v>
      </c>
      <c r="DT15" s="359">
        <f t="shared" si="166"/>
        <v>6.9689737470167046</v>
      </c>
      <c r="DU15" s="359">
        <f t="shared" si="166"/>
        <v>8.2074316047366267</v>
      </c>
      <c r="DV15" s="359">
        <f t="shared" si="166"/>
        <v>10.269627279936566</v>
      </c>
      <c r="DW15" s="359">
        <f t="shared" si="166"/>
        <v>13.844904587900931</v>
      </c>
      <c r="DX15" s="274">
        <f t="shared" si="166"/>
        <v>13.899613899613893</v>
      </c>
      <c r="DY15" s="346">
        <f t="shared" si="166"/>
        <v>8.4339060059633653</v>
      </c>
      <c r="DZ15" s="389">
        <f t="shared" si="166"/>
        <v>9.4880225457961487</v>
      </c>
      <c r="EA15" s="389">
        <f t="shared" si="166"/>
        <v>12.952534191472242</v>
      </c>
      <c r="EB15" s="389">
        <f t="shared" si="166"/>
        <v>10.873786407766994</v>
      </c>
      <c r="EC15" s="389">
        <f t="shared" si="166"/>
        <v>6.0185185185185119</v>
      </c>
      <c r="ED15" s="389">
        <f t="shared" si="166"/>
        <v>9.4444444444444553</v>
      </c>
      <c r="EE15" s="389">
        <f t="shared" si="166"/>
        <v>8.5434700790365081</v>
      </c>
      <c r="EF15" s="389">
        <f t="shared" si="166"/>
        <v>8.0363912054586706</v>
      </c>
      <c r="EG15" s="389">
        <f t="shared" si="166"/>
        <v>2.6773761713520861</v>
      </c>
      <c r="EH15" s="389">
        <f t="shared" si="166"/>
        <v>7.1320754716981183</v>
      </c>
      <c r="EI15" s="389">
        <f t="shared" si="166"/>
        <v>-7.1916576770947316E-2</v>
      </c>
      <c r="EJ15" s="389">
        <f t="shared" si="166"/>
        <v>-11.340941512125536</v>
      </c>
      <c r="EK15" s="389">
        <f t="shared" si="166"/>
        <v>-22.52354048964218</v>
      </c>
      <c r="EL15" s="346">
        <f t="shared" si="166"/>
        <v>3.1131334293570845</v>
      </c>
      <c r="EM15" s="389">
        <f t="shared" ref="EM15:EX15" si="167">(EM14/DZ14-1)*100</f>
        <v>-37.365937365937363</v>
      </c>
      <c r="EN15" s="389">
        <f t="shared" si="167"/>
        <v>-52.207977207977208</v>
      </c>
      <c r="EO15" s="389">
        <f t="shared" si="167"/>
        <v>-57.23292469352014</v>
      </c>
      <c r="EP15" s="389">
        <f t="shared" si="167"/>
        <v>-54.307969432314415</v>
      </c>
      <c r="EQ15" s="389">
        <f t="shared" si="167"/>
        <v>-53.921124560718468</v>
      </c>
      <c r="ER15" s="389">
        <f t="shared" si="167"/>
        <v>-48.570839112343968</v>
      </c>
      <c r="ES15" s="389">
        <f t="shared" si="167"/>
        <v>-46.044070175438598</v>
      </c>
      <c r="ET15" s="389">
        <f t="shared" si="167"/>
        <v>-43.474750108648422</v>
      </c>
      <c r="EU15" s="389">
        <f t="shared" si="167"/>
        <v>-41.224339556181754</v>
      </c>
      <c r="EV15" s="389">
        <f t="shared" si="167"/>
        <v>-36.104713925872609</v>
      </c>
      <c r="EW15" s="389">
        <f t="shared" si="167"/>
        <v>-26.110820595333873</v>
      </c>
      <c r="EX15" s="389">
        <f t="shared" si="167"/>
        <v>-12.785415653864851</v>
      </c>
      <c r="EY15" s="346">
        <f t="shared" ref="EY15:FX15" si="168">(EY14/EL14-1)*100</f>
        <v>-43.314124257912944</v>
      </c>
      <c r="EZ15" s="389">
        <f t="shared" si="168"/>
        <v>17.023424657534235</v>
      </c>
      <c r="FA15" s="389">
        <f t="shared" si="168"/>
        <v>47.369821162444104</v>
      </c>
      <c r="FB15" s="389">
        <f t="shared" si="168"/>
        <v>79.758804258804261</v>
      </c>
      <c r="FC15" s="389">
        <f t="shared" si="168"/>
        <v>61.045844393632763</v>
      </c>
      <c r="FD15" s="389">
        <f t="shared" si="168"/>
        <v>58.249694935936546</v>
      </c>
      <c r="FE15" s="389">
        <f t="shared" si="168"/>
        <v>53.484554181889756</v>
      </c>
      <c r="FF15" s="389">
        <f t="shared" si="168"/>
        <v>44.89160744571268</v>
      </c>
      <c r="FG15" s="389">
        <f t="shared" si="168"/>
        <v>51.38277440594905</v>
      </c>
      <c r="FH15" s="389">
        <f t="shared" si="168"/>
        <v>35.207213534846616</v>
      </c>
      <c r="FI15" s="389">
        <f t="shared" si="168"/>
        <v>24.516824824712092</v>
      </c>
      <c r="FJ15" s="389">
        <f t="shared" si="168"/>
        <v>26.621045955517065</v>
      </c>
      <c r="FK15" s="389">
        <f t="shared" si="168"/>
        <v>26.813987036818187</v>
      </c>
      <c r="FL15" s="346">
        <f t="shared" si="168"/>
        <v>41.761791503383485</v>
      </c>
      <c r="FM15" s="389">
        <f t="shared" si="168"/>
        <v>18.714728698504345</v>
      </c>
      <c r="FN15" s="389">
        <f t="shared" si="168"/>
        <v>19.950265535320533</v>
      </c>
      <c r="FO15" s="389">
        <f t="shared" si="168"/>
        <v>4.8683853830890689</v>
      </c>
      <c r="FP15" s="389">
        <f t="shared" si="168"/>
        <v>2.7585913588666022</v>
      </c>
      <c r="FQ15" s="389">
        <f t="shared" si="168"/>
        <v>3.1156006003835168</v>
      </c>
      <c r="FR15" s="389">
        <f t="shared" si="168"/>
        <v>2.9193822646868428</v>
      </c>
      <c r="FS15" s="389">
        <f t="shared" si="168"/>
        <v>4.6098806945228832</v>
      </c>
      <c r="FT15" s="389">
        <f t="shared" si="168"/>
        <v>2.3809088480482687</v>
      </c>
      <c r="FU15" s="389">
        <f t="shared" si="168"/>
        <v>9.4225359167031222</v>
      </c>
      <c r="FV15" s="389">
        <f t="shared" si="168"/>
        <v>14.417659475445976</v>
      </c>
      <c r="FW15" s="389">
        <f t="shared" si="168"/>
        <v>8.9458068183137627</v>
      </c>
      <c r="FX15" s="389">
        <f t="shared" si="168"/>
        <v>14.449761059986432</v>
      </c>
      <c r="FY15" s="346">
        <f t="shared" ref="FY15:HY15" si="169">(FY14/FL14-1)*100</f>
        <v>8.7678442228021467</v>
      </c>
      <c r="FZ15" s="389">
        <f t="shared" si="169"/>
        <v>4.9898658525822981</v>
      </c>
      <c r="GA15" s="389">
        <f t="shared" si="169"/>
        <v>3.3175537251397325</v>
      </c>
      <c r="GB15" s="389">
        <f t="shared" si="169"/>
        <v>7.0628824060730455</v>
      </c>
      <c r="GC15" s="389">
        <f t="shared" si="169"/>
        <v>16.566525546693533</v>
      </c>
      <c r="GD15" s="413">
        <f t="shared" si="169"/>
        <v>14.000943055249749</v>
      </c>
      <c r="GE15" s="413">
        <f t="shared" si="169"/>
        <v>6.0104508424994041</v>
      </c>
      <c r="GF15" s="413">
        <f t="shared" si="169"/>
        <v>5.2159519610017746</v>
      </c>
      <c r="GG15" s="413">
        <f t="shared" si="169"/>
        <v>-3.6560072188519643</v>
      </c>
      <c r="GH15" s="413">
        <f t="shared" si="169"/>
        <v>-8.5577996902832076</v>
      </c>
      <c r="GI15" s="413">
        <f t="shared" si="169"/>
        <v>-9.9643246085095338</v>
      </c>
      <c r="GJ15" s="413">
        <f t="shared" si="169"/>
        <v>-17.672670989821427</v>
      </c>
      <c r="GK15" s="413">
        <f t="shared" si="169"/>
        <v>-26.341248343278455</v>
      </c>
      <c r="GL15" s="346">
        <f t="shared" si="169"/>
        <v>-1.6417793187630036</v>
      </c>
      <c r="GM15" s="389">
        <f t="shared" si="169"/>
        <v>-12.333740314627839</v>
      </c>
      <c r="GN15" s="389">
        <f t="shared" si="169"/>
        <v>-11.590433303508284</v>
      </c>
      <c r="GO15" s="389">
        <f t="shared" si="169"/>
        <v>-9.3969587822143268</v>
      </c>
      <c r="GP15" s="389">
        <f t="shared" si="169"/>
        <v>-4.8018340828780648</v>
      </c>
      <c r="GQ15" s="389">
        <f t="shared" si="169"/>
        <v>1.5624985764822963</v>
      </c>
      <c r="GR15" s="389">
        <f t="shared" si="169"/>
        <v>-3.3073622912063505</v>
      </c>
      <c r="GS15" s="389">
        <f t="shared" si="169"/>
        <v>3.6946677567797348</v>
      </c>
      <c r="GT15" s="389">
        <f t="shared" si="169"/>
        <v>6.5946016083339165</v>
      </c>
      <c r="GU15" s="389">
        <f t="shared" si="169"/>
        <v>13.651658515840936</v>
      </c>
      <c r="GV15" s="389">
        <f t="shared" si="169"/>
        <v>13.0703495922609</v>
      </c>
      <c r="GW15" s="389">
        <f t="shared" si="169"/>
        <v>20.788108152156969</v>
      </c>
      <c r="GX15" s="389">
        <f t="shared" si="169"/>
        <v>26.109419750698294</v>
      </c>
      <c r="GY15" s="346">
        <f t="shared" si="169"/>
        <v>3.0153379381552492</v>
      </c>
      <c r="GZ15" s="389">
        <f t="shared" si="169"/>
        <v>18.752253123304286</v>
      </c>
      <c r="HA15" s="389">
        <f t="shared" si="169"/>
        <v>14.276352587401986</v>
      </c>
      <c r="HB15" s="389">
        <f t="shared" si="169"/>
        <v>14.339889345185618</v>
      </c>
      <c r="HC15" s="389">
        <f t="shared" si="169"/>
        <v>8.3915119501437818</v>
      </c>
      <c r="HD15" s="389">
        <f t="shared" si="169"/>
        <v>5.111754883347297</v>
      </c>
      <c r="HE15" s="389">
        <f t="shared" si="169"/>
        <v>10.785653494023272</v>
      </c>
      <c r="HF15" s="389">
        <f t="shared" si="169"/>
        <v>5.8021566282637771</v>
      </c>
      <c r="HG15" s="389">
        <f t="shared" si="169"/>
        <v>3.0191623072055584</v>
      </c>
      <c r="HH15" s="389">
        <f t="shared" si="169"/>
        <v>7.0623140311613097</v>
      </c>
      <c r="HI15" s="389">
        <f t="shared" si="169"/>
        <v>5.1836561785179258</v>
      </c>
      <c r="HJ15" s="389">
        <f t="shared" si="169"/>
        <v>-0.75311442997726408</v>
      </c>
      <c r="HK15" s="389">
        <f t="shared" si="169"/>
        <v>2.1365012399356065</v>
      </c>
      <c r="HL15" s="346">
        <f t="shared" si="169"/>
        <v>7.5405882522899592</v>
      </c>
      <c r="HM15" s="389">
        <f t="shared" si="169"/>
        <v>3.8976873424059422</v>
      </c>
      <c r="HN15" s="273">
        <f t="shared" si="169"/>
        <v>2.2471202260204715</v>
      </c>
      <c r="HO15" s="413">
        <f t="shared" si="169"/>
        <v>2.8054622294767739</v>
      </c>
      <c r="HP15" s="273">
        <f t="shared" si="169"/>
        <v>-0.19701327238885735</v>
      </c>
      <c r="HQ15" s="413">
        <f t="shared" si="169"/>
        <v>-5.0500162788127412</v>
      </c>
      <c r="HR15" s="413">
        <f t="shared" si="169"/>
        <v>2.4521202686383914</v>
      </c>
      <c r="HS15" s="413">
        <f t="shared" si="169"/>
        <v>-4.989264065338106</v>
      </c>
      <c r="HT15" s="413">
        <f t="shared" si="169"/>
        <v>-1.0234851102797204</v>
      </c>
      <c r="HU15" s="413">
        <f t="shared" si="169"/>
        <v>-8.2481496718011087</v>
      </c>
      <c r="HV15" s="413">
        <f t="shared" si="169"/>
        <v>-8.9440588405105927</v>
      </c>
      <c r="HW15" s="413">
        <f t="shared" si="169"/>
        <v>-1.8635442849682438</v>
      </c>
      <c r="HX15" s="413">
        <f t="shared" si="169"/>
        <v>-9.2057438038107282</v>
      </c>
      <c r="HY15" s="457">
        <f t="shared" si="169"/>
        <v>-2.4776415784473094</v>
      </c>
      <c r="HZ15" s="413">
        <f>(2091/2303-1)*100</f>
        <v>-9.2053842813721189</v>
      </c>
      <c r="IA15" s="413">
        <f>(2501/2532-1)*100</f>
        <v>-1.2243285939968374</v>
      </c>
      <c r="IB15" s="413">
        <f>(2528/2624-1)*100</f>
        <v>-3.6585365853658569</v>
      </c>
      <c r="IC15" s="413">
        <f>(2418/2494-1)*100</f>
        <v>-3.0473135525260653</v>
      </c>
      <c r="ID15" s="413">
        <f>(2115/2225-1)*100</f>
        <v>-4.9438202247190972</v>
      </c>
      <c r="IE15" s="413">
        <f>(2615/2726-1)*100</f>
        <v>-4.0719002201027195</v>
      </c>
      <c r="IF15" s="413">
        <f>(2481/2556-1)*100</f>
        <v>-2.9342723004694871</v>
      </c>
      <c r="IG15" s="413">
        <f>(2161/2111-1)*100</f>
        <v>2.3685457129322574</v>
      </c>
      <c r="IH15" s="413">
        <f>(2488/2520-1)*100</f>
        <v>-1.2698412698412653</v>
      </c>
      <c r="II15" s="413">
        <f>(2443/2467-1)*100</f>
        <v>-0.97284150790433177</v>
      </c>
      <c r="IJ15" s="413">
        <f>(2572/2454-1)*100</f>
        <v>4.8084759576202174</v>
      </c>
      <c r="IK15" s="413">
        <f>(2477/2243-1)*100</f>
        <v>10.432456531431122</v>
      </c>
      <c r="IL15" s="465">
        <f>(28890/29256-1)*100</f>
        <v>-1.2510254306808855</v>
      </c>
      <c r="IM15" s="413">
        <f>(2205/2091-1)*100</f>
        <v>5.4519368723098927</v>
      </c>
      <c r="IN15" s="502">
        <f>(IN14/IA14-1)*100</f>
        <v>0.43106809316348915</v>
      </c>
      <c r="IO15" s="502">
        <f t="shared" ref="IO15:IX15" si="170">(IO14/IB14-1)*100</f>
        <v>7.6306391691244313</v>
      </c>
      <c r="IP15" s="502">
        <f t="shared" si="170"/>
        <v>4.6737485424126923</v>
      </c>
      <c r="IQ15" s="502">
        <f t="shared" si="170"/>
        <v>5.1022415214809325</v>
      </c>
      <c r="IR15" s="502">
        <f t="shared" si="170"/>
        <v>2.7521472646040435</v>
      </c>
      <c r="IS15" s="502">
        <f t="shared" si="170"/>
        <v>8.7271660328264176</v>
      </c>
      <c r="IT15" s="502">
        <f t="shared" si="170"/>
        <v>5.2644755260935483</v>
      </c>
      <c r="IU15" s="502">
        <f t="shared" si="170"/>
        <v>4.2419563929727788</v>
      </c>
      <c r="IV15" s="502">
        <f t="shared" si="170"/>
        <v>12.947496499752997</v>
      </c>
      <c r="IW15" s="502">
        <f t="shared" si="170"/>
        <v>6.8770713865472288</v>
      </c>
      <c r="IX15" s="502">
        <f t="shared" si="170"/>
        <v>4.8674813995876587</v>
      </c>
      <c r="IY15" s="465">
        <f t="shared" ref="IY15:IZ15" si="171">(IY14/IL14-1)*100</f>
        <v>5.7483911298920276</v>
      </c>
      <c r="IZ15" s="502">
        <f t="shared" si="171"/>
        <v>2.7475587181898797</v>
      </c>
      <c r="JA15" s="502">
        <f>(JA14/IN14-1)*100</f>
        <v>3.3936481329221557</v>
      </c>
      <c r="JB15" s="502">
        <f t="shared" ref="JB15:JE15" si="172">(JB14/IO14-1)*100</f>
        <v>0.86679698941944938</v>
      </c>
      <c r="JC15" s="502">
        <f t="shared" si="172"/>
        <v>4.6256057397283445</v>
      </c>
      <c r="JD15" s="502">
        <f t="shared" si="172"/>
        <v>8.6825162040286017</v>
      </c>
      <c r="JE15" s="502">
        <f t="shared" si="172"/>
        <v>4.4562756380265078</v>
      </c>
      <c r="JF15" s="502">
        <f>(JF14/2698-1)*100</f>
        <v>1.4455151964418045</v>
      </c>
      <c r="JG15" s="502">
        <f>(JG14/2275-1)*100</f>
        <v>-0.30769230769230882</v>
      </c>
      <c r="JH15" s="502">
        <f>(JH14/2594-1)*100</f>
        <v>0.92521202775635025</v>
      </c>
      <c r="JI15" s="502">
        <f>(JI14/2760-1)*100</f>
        <v>3.1159420289855078</v>
      </c>
      <c r="JJ15" s="502">
        <f>(JJ14/2597-1)*100</f>
        <v>3.3500192529842154</v>
      </c>
      <c r="JK15" s="502">
        <f>(JK14/2597-1)*100</f>
        <v>-1.0011551790527484</v>
      </c>
      <c r="JL15" s="534">
        <f>(JL14/30551-1)*100</f>
        <v>2.1341363621485421</v>
      </c>
      <c r="JM15" s="502">
        <f>(JM14/2266-1)*100</f>
        <v>-1.0150044130626701</v>
      </c>
      <c r="JN15" s="566">
        <f>(JN14/2597-1)*100</f>
        <v>2.0023103581054968</v>
      </c>
    </row>
    <row r="16" spans="1:274" ht="13.5" customHeight="1" x14ac:dyDescent="0.3">
      <c r="A16" s="542" t="s">
        <v>419</v>
      </c>
      <c r="B16" s="48" t="s">
        <v>108</v>
      </c>
      <c r="C16" s="218">
        <v>159233</v>
      </c>
      <c r="D16" s="191">
        <v>170708</v>
      </c>
      <c r="E16" s="218">
        <v>162491</v>
      </c>
      <c r="F16" s="191">
        <v>151469</v>
      </c>
      <c r="G16" s="218">
        <v>139077</v>
      </c>
      <c r="H16" s="191">
        <v>145945</v>
      </c>
      <c r="I16" s="218">
        <v>150951</v>
      </c>
      <c r="J16" s="191">
        <v>151651</v>
      </c>
      <c r="K16" s="218">
        <v>150799</v>
      </c>
      <c r="L16" s="237">
        <v>131120</v>
      </c>
      <c r="M16" s="238">
        <v>134799</v>
      </c>
      <c r="N16" s="191">
        <f>SUM(AA16:AL16)</f>
        <v>150301</v>
      </c>
      <c r="O16" s="220">
        <v>9899</v>
      </c>
      <c r="P16" s="221">
        <v>11592</v>
      </c>
      <c r="Q16" s="221">
        <v>12126</v>
      </c>
      <c r="R16" s="221">
        <v>11381</v>
      </c>
      <c r="S16" s="221">
        <v>10023</v>
      </c>
      <c r="T16" s="221">
        <v>11889</v>
      </c>
      <c r="U16" s="221">
        <v>11291</v>
      </c>
      <c r="V16" s="221">
        <v>9240</v>
      </c>
      <c r="W16" s="221">
        <v>11782</v>
      </c>
      <c r="X16" s="221">
        <v>11564</v>
      </c>
      <c r="Y16" s="221">
        <v>12061</v>
      </c>
      <c r="Z16" s="222">
        <v>11951</v>
      </c>
      <c r="AA16" s="191">
        <v>10759</v>
      </c>
      <c r="AB16" s="218">
        <v>12567</v>
      </c>
      <c r="AC16" s="191">
        <v>13463</v>
      </c>
      <c r="AD16" s="218">
        <v>12560</v>
      </c>
      <c r="AE16" s="191">
        <v>11399</v>
      </c>
      <c r="AF16" s="218">
        <v>13345</v>
      </c>
      <c r="AG16" s="191">
        <v>13297</v>
      </c>
      <c r="AH16" s="218">
        <v>11135</v>
      </c>
      <c r="AI16" s="191">
        <v>12941</v>
      </c>
      <c r="AJ16" s="218">
        <v>13124</v>
      </c>
      <c r="AK16" s="191">
        <v>12937</v>
      </c>
      <c r="AL16" s="218">
        <v>12774</v>
      </c>
      <c r="AM16" s="159">
        <f>SUM(AN16:AY16)</f>
        <v>140777</v>
      </c>
      <c r="AN16" s="192">
        <v>11071</v>
      </c>
      <c r="AO16" s="191">
        <v>12331</v>
      </c>
      <c r="AP16" s="193">
        <v>12642</v>
      </c>
      <c r="AQ16" s="194">
        <v>11836</v>
      </c>
      <c r="AR16" s="194">
        <v>10663</v>
      </c>
      <c r="AS16" s="194">
        <v>12232</v>
      </c>
      <c r="AT16" s="194">
        <v>11972</v>
      </c>
      <c r="AU16" s="194">
        <v>10568</v>
      </c>
      <c r="AV16" s="194">
        <v>11927</v>
      </c>
      <c r="AW16" s="194">
        <v>12410</v>
      </c>
      <c r="AX16" s="194">
        <v>11939</v>
      </c>
      <c r="AY16" s="195">
        <v>11186</v>
      </c>
      <c r="AZ16" s="168">
        <f>SUM(BA16:BL16)</f>
        <v>149843</v>
      </c>
      <c r="BA16" s="187">
        <v>10450</v>
      </c>
      <c r="BB16" s="189">
        <v>11951</v>
      </c>
      <c r="BC16" s="189">
        <v>12393</v>
      </c>
      <c r="BD16" s="189">
        <v>12716</v>
      </c>
      <c r="BE16" s="189">
        <v>11434</v>
      </c>
      <c r="BF16" s="189">
        <v>12807</v>
      </c>
      <c r="BG16" s="189">
        <v>13597</v>
      </c>
      <c r="BH16" s="189">
        <v>11096</v>
      </c>
      <c r="BI16" s="189">
        <v>13164</v>
      </c>
      <c r="BJ16" s="189">
        <v>13662</v>
      </c>
      <c r="BK16" s="189">
        <v>13375</v>
      </c>
      <c r="BL16" s="189">
        <v>13198</v>
      </c>
      <c r="BM16" s="190">
        <v>12109</v>
      </c>
      <c r="BN16" s="190">
        <v>14161</v>
      </c>
      <c r="BO16" s="190">
        <v>13834</v>
      </c>
      <c r="BP16" s="190">
        <v>14238</v>
      </c>
      <c r="BQ16" s="190">
        <v>12837</v>
      </c>
      <c r="BR16" s="190">
        <v>15203</v>
      </c>
      <c r="BS16" s="190">
        <v>14528</v>
      </c>
      <c r="BT16" s="190">
        <v>11960</v>
      </c>
      <c r="BU16" s="190">
        <v>14985</v>
      </c>
      <c r="BV16" s="190">
        <v>14882</v>
      </c>
      <c r="BW16" s="190">
        <v>13895</v>
      </c>
      <c r="BX16" s="190">
        <v>14417</v>
      </c>
      <c r="BY16" s="168">
        <f>SUM(BM16:BX16)</f>
        <v>167049</v>
      </c>
      <c r="BZ16" s="234">
        <v>13169</v>
      </c>
      <c r="CA16" s="170">
        <v>14958</v>
      </c>
      <c r="CB16" s="170">
        <v>15882</v>
      </c>
      <c r="CC16" s="170">
        <v>15348</v>
      </c>
      <c r="CD16" s="170">
        <v>13533</v>
      </c>
      <c r="CE16" s="223">
        <v>16123</v>
      </c>
      <c r="CF16" s="224">
        <v>15237</v>
      </c>
      <c r="CG16" s="224">
        <v>13149</v>
      </c>
      <c r="CH16" s="224">
        <v>15386</v>
      </c>
      <c r="CI16" s="224">
        <v>14963</v>
      </c>
      <c r="CJ16" s="200">
        <v>15555</v>
      </c>
      <c r="CK16" s="341">
        <v>14977</v>
      </c>
      <c r="CL16" s="337">
        <f>SUM(BZ16:CK16)</f>
        <v>178280</v>
      </c>
      <c r="CM16" s="275">
        <v>13402</v>
      </c>
      <c r="CN16" s="276">
        <v>15177</v>
      </c>
      <c r="CO16" s="276">
        <v>16819</v>
      </c>
      <c r="CP16" s="360">
        <v>16012</v>
      </c>
      <c r="CQ16" s="360">
        <v>13707</v>
      </c>
      <c r="CR16" s="360">
        <v>16530</v>
      </c>
      <c r="CS16" s="360">
        <v>16082</v>
      </c>
      <c r="CT16" s="360">
        <v>13753</v>
      </c>
      <c r="CU16" s="360">
        <v>16742</v>
      </c>
      <c r="CV16" s="360">
        <v>16356</v>
      </c>
      <c r="CW16" s="360">
        <v>15861</v>
      </c>
      <c r="CX16" s="352">
        <v>15238</v>
      </c>
      <c r="CY16" s="337">
        <f>SUM(CM16:CX16)</f>
        <v>185679</v>
      </c>
      <c r="CZ16" s="360">
        <v>14834</v>
      </c>
      <c r="DA16" s="360">
        <v>16282</v>
      </c>
      <c r="DB16" s="360">
        <v>17484</v>
      </c>
      <c r="DC16" s="360">
        <v>16758</v>
      </c>
      <c r="DD16" s="360">
        <v>14360</v>
      </c>
      <c r="DE16" s="360">
        <v>17161</v>
      </c>
      <c r="DF16" s="360">
        <v>16781</v>
      </c>
      <c r="DG16" s="360">
        <v>14591</v>
      </c>
      <c r="DH16" s="360">
        <v>17507</v>
      </c>
      <c r="DI16" s="360">
        <v>17850</v>
      </c>
      <c r="DJ16" s="360">
        <v>17456</v>
      </c>
      <c r="DK16" s="360">
        <v>16776</v>
      </c>
      <c r="DL16" s="337">
        <f>SUM(CZ16:DK16)</f>
        <v>197840</v>
      </c>
      <c r="DM16" s="360">
        <v>15041</v>
      </c>
      <c r="DN16" s="360">
        <v>17095</v>
      </c>
      <c r="DO16" s="360">
        <v>18054</v>
      </c>
      <c r="DP16" s="360">
        <v>17812</v>
      </c>
      <c r="DQ16" s="360">
        <v>15776</v>
      </c>
      <c r="DR16" s="360">
        <v>18317</v>
      </c>
      <c r="DS16" s="360">
        <v>18185</v>
      </c>
      <c r="DT16" s="360">
        <v>15180</v>
      </c>
      <c r="DU16" s="360">
        <v>17842</v>
      </c>
      <c r="DV16" s="360">
        <v>18773</v>
      </c>
      <c r="DW16" s="360">
        <v>18929</v>
      </c>
      <c r="DX16" s="276">
        <v>17594</v>
      </c>
      <c r="DY16" s="365">
        <f>SUM(DM16:DX16)</f>
        <v>208598</v>
      </c>
      <c r="DZ16" s="390">
        <v>15731</v>
      </c>
      <c r="EA16" s="390">
        <v>18622</v>
      </c>
      <c r="EB16" s="390">
        <v>18765</v>
      </c>
      <c r="EC16" s="390">
        <v>18043</v>
      </c>
      <c r="ED16" s="390">
        <v>16528</v>
      </c>
      <c r="EE16" s="390">
        <v>18674</v>
      </c>
      <c r="EF16" s="390">
        <v>19113</v>
      </c>
      <c r="EG16" s="390">
        <v>14891</v>
      </c>
      <c r="EH16" s="390">
        <v>18697</v>
      </c>
      <c r="EI16" s="390">
        <v>18076</v>
      </c>
      <c r="EJ16" s="390">
        <v>15616</v>
      </c>
      <c r="EK16" s="390">
        <v>12861</v>
      </c>
      <c r="EL16" s="365">
        <f>SUM(DZ16:EK16)</f>
        <v>205617</v>
      </c>
      <c r="EM16" s="390">
        <v>8882</v>
      </c>
      <c r="EN16" s="390">
        <v>8400</v>
      </c>
      <c r="EO16" s="390">
        <v>8227</v>
      </c>
      <c r="EP16" s="390">
        <v>8440</v>
      </c>
      <c r="EQ16" s="390">
        <v>8092</v>
      </c>
      <c r="ER16" s="390">
        <v>10299</v>
      </c>
      <c r="ES16" s="390">
        <v>11205</v>
      </c>
      <c r="ET16" s="390">
        <v>9817</v>
      </c>
      <c r="EU16" s="390">
        <v>12211</v>
      </c>
      <c r="EV16" s="390">
        <v>12753</v>
      </c>
      <c r="EW16" s="390">
        <v>12982</v>
      </c>
      <c r="EX16" s="390">
        <v>12935</v>
      </c>
      <c r="EY16" s="365">
        <f>SUM(EM16:EX16)</f>
        <v>124243</v>
      </c>
      <c r="EZ16" s="390">
        <v>12071</v>
      </c>
      <c r="FA16" s="390">
        <v>13914</v>
      </c>
      <c r="FB16" s="390">
        <v>14633</v>
      </c>
      <c r="FC16" s="390">
        <v>14158</v>
      </c>
      <c r="FD16" s="390">
        <v>13087</v>
      </c>
      <c r="FE16" s="390">
        <v>15406</v>
      </c>
      <c r="FF16" s="390">
        <v>15857</v>
      </c>
      <c r="FG16" s="390">
        <v>13020</v>
      </c>
      <c r="FH16" s="390">
        <v>15658.5</v>
      </c>
      <c r="FI16" s="390">
        <v>15175.7</v>
      </c>
      <c r="FJ16" s="390">
        <v>15597.8</v>
      </c>
      <c r="FK16" s="390">
        <v>15287.5</v>
      </c>
      <c r="FL16" s="365">
        <f>SUM(EZ16:FK16)</f>
        <v>173865.5</v>
      </c>
      <c r="FM16" s="390">
        <v>14232.1</v>
      </c>
      <c r="FN16" s="390">
        <v>15488.2</v>
      </c>
      <c r="FO16" s="390">
        <v>15198</v>
      </c>
      <c r="FP16" s="390">
        <v>14481.5</v>
      </c>
      <c r="FQ16" s="390">
        <v>11946.8</v>
      </c>
      <c r="FR16" s="390">
        <v>15613.1</v>
      </c>
      <c r="FS16" s="390">
        <v>15854.1</v>
      </c>
      <c r="FT16" s="390">
        <v>14335.2</v>
      </c>
      <c r="FU16" s="390">
        <v>17015.099999999999</v>
      </c>
      <c r="FV16" s="390">
        <v>17207.099999999999</v>
      </c>
      <c r="FW16" s="390">
        <v>17047.2</v>
      </c>
      <c r="FX16" s="390">
        <v>15907</v>
      </c>
      <c r="FY16" s="365">
        <f>SUM(FM16:FX16)</f>
        <v>184325.40000000002</v>
      </c>
      <c r="FZ16" s="390">
        <v>14238.2</v>
      </c>
      <c r="GA16" s="390">
        <v>18416.900000000001</v>
      </c>
      <c r="GB16" s="390">
        <v>16640.8</v>
      </c>
      <c r="GC16" s="390">
        <v>16388.099999999999</v>
      </c>
      <c r="GD16" s="414">
        <v>14365.4</v>
      </c>
      <c r="GE16" s="414">
        <v>17060.400000000001</v>
      </c>
      <c r="GF16" s="414">
        <v>15482.8</v>
      </c>
      <c r="GG16" s="414">
        <v>12935.9</v>
      </c>
      <c r="GH16" s="414">
        <v>15608</v>
      </c>
      <c r="GI16" s="414">
        <v>15641.3</v>
      </c>
      <c r="GJ16" s="414">
        <v>15074.3</v>
      </c>
      <c r="GK16" s="414">
        <v>14278.2</v>
      </c>
      <c r="GL16" s="365">
        <f>SUM(FZ16:GK16)</f>
        <v>186130.3</v>
      </c>
      <c r="GM16" s="390">
        <v>14593.1</v>
      </c>
      <c r="GN16" s="390">
        <v>16805.3</v>
      </c>
      <c r="GO16" s="390">
        <v>16917.2</v>
      </c>
      <c r="GP16" s="390">
        <v>17447.599999999999</v>
      </c>
      <c r="GQ16" s="390">
        <v>16314.3</v>
      </c>
      <c r="GR16" s="390">
        <v>17739.3</v>
      </c>
      <c r="GS16" s="390">
        <v>18625.599999999999</v>
      </c>
      <c r="GT16" s="390">
        <v>15309.6</v>
      </c>
      <c r="GU16" s="390">
        <v>18564.099999999999</v>
      </c>
      <c r="GV16" s="390">
        <v>18655.099999999999</v>
      </c>
      <c r="GW16" s="390">
        <v>21313.599999999999</v>
      </c>
      <c r="GX16" s="390">
        <v>17895.599999999999</v>
      </c>
      <c r="GY16" s="365">
        <f>SUM(GM16:GX16)</f>
        <v>210180.40000000005</v>
      </c>
      <c r="GZ16" s="390">
        <v>16563.3</v>
      </c>
      <c r="HA16" s="390">
        <v>18665.400000000001</v>
      </c>
      <c r="HB16" s="390">
        <v>19020.900000000001</v>
      </c>
      <c r="HC16" s="390">
        <v>18962.900000000001</v>
      </c>
      <c r="HD16" s="390">
        <v>17676</v>
      </c>
      <c r="HE16" s="390">
        <v>19820.900000000001</v>
      </c>
      <c r="HF16" s="390">
        <v>20870.599999999999</v>
      </c>
      <c r="HG16" s="390">
        <v>16221.9</v>
      </c>
      <c r="HH16" s="390">
        <v>20282.7</v>
      </c>
      <c r="HI16" s="390">
        <v>19609.900000000001</v>
      </c>
      <c r="HJ16" s="390">
        <v>19042.599999999999</v>
      </c>
      <c r="HK16" s="390">
        <v>18657.099999999999</v>
      </c>
      <c r="HL16" s="365">
        <f>SUM(GZ16:HK16)</f>
        <v>225394.2</v>
      </c>
      <c r="HM16" s="390">
        <v>16708.3</v>
      </c>
      <c r="HN16" s="275">
        <v>18706.400000000001</v>
      </c>
      <c r="HO16" s="306">
        <v>19306.099999999999</v>
      </c>
      <c r="HP16" s="425">
        <v>19042.8</v>
      </c>
      <c r="HQ16" s="432">
        <v>16067</v>
      </c>
      <c r="HR16" s="432">
        <v>19600.2</v>
      </c>
      <c r="HS16" s="432">
        <v>19398.900000000001</v>
      </c>
      <c r="HT16" s="432">
        <v>15488.3</v>
      </c>
      <c r="HU16" s="432">
        <v>19128.599999999999</v>
      </c>
      <c r="HV16" s="432">
        <v>18670.7</v>
      </c>
      <c r="HW16" s="432">
        <v>18701.5</v>
      </c>
      <c r="HX16" s="432">
        <v>17403</v>
      </c>
      <c r="HY16" s="456">
        <f>SUM(HM16:HX16)</f>
        <v>218221.8</v>
      </c>
      <c r="HZ16" s="432">
        <v>16820.099999999999</v>
      </c>
      <c r="IA16" s="432">
        <v>18197.8</v>
      </c>
      <c r="IB16" s="432">
        <v>18856.5</v>
      </c>
      <c r="IC16" s="432">
        <v>19061.7</v>
      </c>
      <c r="ID16" s="432">
        <v>16128.7</v>
      </c>
      <c r="IE16" s="432">
        <v>19367.3</v>
      </c>
      <c r="IF16" s="432">
        <v>19165.099999999999</v>
      </c>
      <c r="IG16" s="432">
        <v>16537.8</v>
      </c>
      <c r="IH16" s="432">
        <v>19726.190000000002</v>
      </c>
      <c r="II16" s="432">
        <v>19093.059999999998</v>
      </c>
      <c r="IJ16" s="432">
        <v>20093.599999999999</v>
      </c>
      <c r="IK16" s="432">
        <f>'[1]３地区計'!N6</f>
        <v>19013.8</v>
      </c>
      <c r="IL16" s="466">
        <f>SUM(HZ16:IK16)</f>
        <v>222061.64999999997</v>
      </c>
      <c r="IM16" s="432">
        <v>17518</v>
      </c>
      <c r="IN16" s="503">
        <v>20037</v>
      </c>
      <c r="IO16" s="503">
        <v>20515</v>
      </c>
      <c r="IP16" s="503">
        <v>19996</v>
      </c>
      <c r="IQ16" s="503">
        <v>17017</v>
      </c>
      <c r="IR16" s="503">
        <v>20409</v>
      </c>
      <c r="IS16" s="503">
        <v>20405</v>
      </c>
      <c r="IT16" s="503">
        <v>17014</v>
      </c>
      <c r="IU16" s="503">
        <v>20473</v>
      </c>
      <c r="IV16" s="503">
        <v>20881</v>
      </c>
      <c r="IW16" s="517">
        <v>21092</v>
      </c>
      <c r="IX16" s="503">
        <v>19826</v>
      </c>
      <c r="IY16" s="466">
        <f>SUM(IM16:IX16)</f>
        <v>235183</v>
      </c>
      <c r="IZ16" s="503">
        <v>17334</v>
      </c>
      <c r="JA16" s="503">
        <v>20175</v>
      </c>
      <c r="JB16" s="503">
        <v>20711</v>
      </c>
      <c r="JC16" s="503">
        <v>20927</v>
      </c>
      <c r="JD16" s="503">
        <v>18080</v>
      </c>
      <c r="JE16" s="517">
        <v>21558</v>
      </c>
      <c r="JF16" s="503">
        <v>21719</v>
      </c>
      <c r="JG16" s="503">
        <v>18012</v>
      </c>
      <c r="JH16" s="503">
        <v>20569</v>
      </c>
      <c r="JI16" s="503">
        <v>22043</v>
      </c>
      <c r="JJ16" s="503">
        <v>21654</v>
      </c>
      <c r="JK16" s="503">
        <v>20309</v>
      </c>
      <c r="JL16" s="512">
        <f>SUM(IZ16:JK16)</f>
        <v>243091</v>
      </c>
      <c r="JM16" s="503">
        <v>17612</v>
      </c>
      <c r="JN16" s="503">
        <v>22394</v>
      </c>
    </row>
    <row r="17" spans="1:274" ht="13.5" customHeight="1" thickBot="1" x14ac:dyDescent="0.35">
      <c r="A17" s="550"/>
      <c r="B17" s="43" t="s">
        <v>102</v>
      </c>
      <c r="C17" s="173"/>
      <c r="D17" s="174">
        <f t="shared" ref="D17:M17" si="173">(D16/C16-1)*100</f>
        <v>7.2064207796122659</v>
      </c>
      <c r="E17" s="174">
        <f t="shared" si="173"/>
        <v>-4.8134826721653372</v>
      </c>
      <c r="F17" s="174">
        <f t="shared" si="173"/>
        <v>-6.7831449126413146</v>
      </c>
      <c r="G17" s="174">
        <f t="shared" si="173"/>
        <v>-8.1812119971743424</v>
      </c>
      <c r="H17" s="174">
        <f t="shared" si="173"/>
        <v>4.9382716049382713</v>
      </c>
      <c r="I17" s="174">
        <f t="shared" si="173"/>
        <v>3.4300592689026743</v>
      </c>
      <c r="J17" s="174">
        <f t="shared" si="173"/>
        <v>0.46372663977052309</v>
      </c>
      <c r="K17" s="174">
        <f t="shared" si="173"/>
        <v>-0.56181627552736035</v>
      </c>
      <c r="L17" s="174">
        <f t="shared" si="173"/>
        <v>-13.049821285287033</v>
      </c>
      <c r="M17" s="174">
        <f t="shared" si="173"/>
        <v>2.8058267236119594</v>
      </c>
      <c r="N17" s="174">
        <f>(N16/M16-1)*100</f>
        <v>11.500085312205588</v>
      </c>
      <c r="O17" s="175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7"/>
      <c r="AA17" s="174">
        <f t="shared" ref="AA17:AL17" si="174">(AA16/O16-1)*100</f>
        <v>8.6877462369936431</v>
      </c>
      <c r="AB17" s="174">
        <f t="shared" si="174"/>
        <v>8.4109730848861197</v>
      </c>
      <c r="AC17" s="174">
        <f t="shared" si="174"/>
        <v>11.025894771565238</v>
      </c>
      <c r="AD17" s="174">
        <f t="shared" si="174"/>
        <v>10.359370881293373</v>
      </c>
      <c r="AE17" s="174">
        <f t="shared" si="174"/>
        <v>13.728424623366253</v>
      </c>
      <c r="AF17" s="174">
        <f t="shared" si="174"/>
        <v>12.246614517621325</v>
      </c>
      <c r="AG17" s="174">
        <f t="shared" si="174"/>
        <v>17.766362589673189</v>
      </c>
      <c r="AH17" s="174">
        <f t="shared" si="174"/>
        <v>20.508658008657999</v>
      </c>
      <c r="AI17" s="174">
        <f t="shared" si="174"/>
        <v>9.8370395518587728</v>
      </c>
      <c r="AJ17" s="174">
        <f t="shared" si="174"/>
        <v>13.490141819439639</v>
      </c>
      <c r="AK17" s="174">
        <f t="shared" si="174"/>
        <v>7.2630793466545107</v>
      </c>
      <c r="AL17" s="178">
        <f t="shared" si="174"/>
        <v>6.8864530164839843</v>
      </c>
      <c r="AM17" s="174">
        <f>(AM16/N16-1)*100</f>
        <v>-6.3366178535072981</v>
      </c>
      <c r="AN17" s="179">
        <f t="shared" ref="AN17:AY17" si="175">(AN16/AA16-1)*100</f>
        <v>2.899897760014869</v>
      </c>
      <c r="AO17" s="174">
        <f t="shared" si="175"/>
        <v>-1.8779342723004744</v>
      </c>
      <c r="AP17" s="178">
        <f t="shared" si="175"/>
        <v>-6.0981950531085243</v>
      </c>
      <c r="AQ17" s="174">
        <f t="shared" si="175"/>
        <v>-5.7643312101910871</v>
      </c>
      <c r="AR17" s="174">
        <f t="shared" si="175"/>
        <v>-6.4567067286604107</v>
      </c>
      <c r="AS17" s="180">
        <f t="shared" si="175"/>
        <v>-8.3402023229674054</v>
      </c>
      <c r="AT17" s="174">
        <f t="shared" si="175"/>
        <v>-9.9646536812814883</v>
      </c>
      <c r="AU17" s="180">
        <f t="shared" si="175"/>
        <v>-5.0920520880107789</v>
      </c>
      <c r="AV17" s="174">
        <f t="shared" si="175"/>
        <v>-7.8355613940190079</v>
      </c>
      <c r="AW17" s="180">
        <f t="shared" si="175"/>
        <v>-5.4404145077720178</v>
      </c>
      <c r="AX17" s="174">
        <f t="shared" si="175"/>
        <v>-7.7143077993352405</v>
      </c>
      <c r="AY17" s="181">
        <f t="shared" si="175"/>
        <v>-12.431501487396268</v>
      </c>
      <c r="AZ17" s="182">
        <f t="shared" ref="AZ17:BL17" si="176">(AZ16/AM16-1)*100</f>
        <v>6.4399724386796198</v>
      </c>
      <c r="BA17" s="225">
        <f t="shared" si="176"/>
        <v>-5.6092493902989755</v>
      </c>
      <c r="BB17" s="184">
        <f t="shared" si="176"/>
        <v>-3.081664098613246</v>
      </c>
      <c r="BC17" s="184">
        <f t="shared" si="176"/>
        <v>-1.9696250593260523</v>
      </c>
      <c r="BD17" s="184">
        <f t="shared" si="176"/>
        <v>7.4349442379182173</v>
      </c>
      <c r="BE17" s="184">
        <f t="shared" si="176"/>
        <v>7.2306105223670647</v>
      </c>
      <c r="BF17" s="184">
        <f t="shared" si="176"/>
        <v>4.7007848266841012</v>
      </c>
      <c r="BG17" s="184">
        <f t="shared" si="176"/>
        <v>13.573337788172402</v>
      </c>
      <c r="BH17" s="184">
        <f t="shared" si="176"/>
        <v>4.9962149886449758</v>
      </c>
      <c r="BI17" s="184">
        <f t="shared" si="176"/>
        <v>10.371426175903409</v>
      </c>
      <c r="BJ17" s="184">
        <f t="shared" si="176"/>
        <v>10.08863819500403</v>
      </c>
      <c r="BK17" s="184">
        <f t="shared" si="176"/>
        <v>12.027808024122621</v>
      </c>
      <c r="BL17" s="184">
        <f t="shared" si="176"/>
        <v>17.986769175755413</v>
      </c>
      <c r="BM17" s="185">
        <f t="shared" ref="BM17:BX17" si="177">(BM16/BA16-1)*100</f>
        <v>15.875598086124398</v>
      </c>
      <c r="BN17" s="185">
        <f t="shared" si="177"/>
        <v>18.492176386913229</v>
      </c>
      <c r="BO17" s="185">
        <f t="shared" si="177"/>
        <v>11.627531671104663</v>
      </c>
      <c r="BP17" s="185">
        <f t="shared" si="177"/>
        <v>11.969172695816299</v>
      </c>
      <c r="BQ17" s="185">
        <f t="shared" si="177"/>
        <v>12.270421549763855</v>
      </c>
      <c r="BR17" s="185">
        <f t="shared" si="177"/>
        <v>18.70851877879285</v>
      </c>
      <c r="BS17" s="185">
        <f t="shared" si="177"/>
        <v>6.8470986246966348</v>
      </c>
      <c r="BT17" s="185">
        <f t="shared" si="177"/>
        <v>7.7865897620764235</v>
      </c>
      <c r="BU17" s="185">
        <f t="shared" si="177"/>
        <v>13.833181403828632</v>
      </c>
      <c r="BV17" s="185">
        <f t="shared" si="177"/>
        <v>8.9298784950958776</v>
      </c>
      <c r="BW17" s="185">
        <f t="shared" si="177"/>
        <v>3.8878504672897218</v>
      </c>
      <c r="BX17" s="185">
        <f t="shared" si="177"/>
        <v>9.2362479163509583</v>
      </c>
      <c r="BY17" s="182">
        <f>(BY16/AZ16-1)*100</f>
        <v>11.482685210520337</v>
      </c>
      <c r="BZ17" s="183">
        <f t="shared" ref="BZ17:CK17" si="178">(BZ16/BM16-1)*100</f>
        <v>8.7538194731191723</v>
      </c>
      <c r="CA17" s="184">
        <f t="shared" si="178"/>
        <v>5.6281336063837228</v>
      </c>
      <c r="CB17" s="184">
        <f t="shared" si="178"/>
        <v>14.804105826225245</v>
      </c>
      <c r="CC17" s="184">
        <f t="shared" si="178"/>
        <v>7.7960387694900879</v>
      </c>
      <c r="CD17" s="184">
        <f t="shared" si="178"/>
        <v>5.4218275297966745</v>
      </c>
      <c r="CE17" s="186">
        <f t="shared" si="178"/>
        <v>6.051437216338873</v>
      </c>
      <c r="CF17" s="186">
        <f t="shared" si="178"/>
        <v>4.8802312775330314</v>
      </c>
      <c r="CG17" s="186">
        <f t="shared" si="178"/>
        <v>9.9414715719063462</v>
      </c>
      <c r="CH17" s="186">
        <f t="shared" si="178"/>
        <v>2.6760093426760001</v>
      </c>
      <c r="CI17" s="186">
        <f t="shared" si="178"/>
        <v>0.54428168256954734</v>
      </c>
      <c r="CJ17" s="186">
        <f t="shared" si="178"/>
        <v>11.946743432889528</v>
      </c>
      <c r="CK17" s="340">
        <f t="shared" si="178"/>
        <v>3.8843032531039823</v>
      </c>
      <c r="CL17" s="346">
        <f t="shared" ref="CL17:EL17" si="179">(CL16/BY16-1)*100</f>
        <v>6.7231770318888495</v>
      </c>
      <c r="CM17" s="269">
        <f t="shared" si="179"/>
        <v>1.7693067051408606</v>
      </c>
      <c r="CN17" s="270">
        <f t="shared" si="179"/>
        <v>1.4640994785399153</v>
      </c>
      <c r="CO17" s="270">
        <f t="shared" si="179"/>
        <v>5.8997607354237536</v>
      </c>
      <c r="CP17" s="357">
        <f t="shared" si="179"/>
        <v>4.3262965858743785</v>
      </c>
      <c r="CQ17" s="357">
        <f t="shared" si="179"/>
        <v>1.2857459543338612</v>
      </c>
      <c r="CR17" s="357">
        <f t="shared" si="179"/>
        <v>2.5243441046951531</v>
      </c>
      <c r="CS17" s="357">
        <f t="shared" si="179"/>
        <v>5.545711097985162</v>
      </c>
      <c r="CT17" s="357">
        <f t="shared" si="179"/>
        <v>4.5935052095216422</v>
      </c>
      <c r="CU17" s="357">
        <f t="shared" si="179"/>
        <v>8.8132068113869764</v>
      </c>
      <c r="CV17" s="357">
        <f t="shared" si="179"/>
        <v>9.3096304217068706</v>
      </c>
      <c r="CW17" s="357">
        <f t="shared" si="179"/>
        <v>1.9672131147540961</v>
      </c>
      <c r="CX17" s="349">
        <f t="shared" si="179"/>
        <v>1.742672097215725</v>
      </c>
      <c r="CY17" s="346">
        <f t="shared" si="179"/>
        <v>4.1502131478573068</v>
      </c>
      <c r="CZ17" s="357">
        <f t="shared" si="179"/>
        <v>10.684972392180271</v>
      </c>
      <c r="DA17" s="357">
        <f t="shared" si="179"/>
        <v>7.280753772155224</v>
      </c>
      <c r="DB17" s="357">
        <f t="shared" si="179"/>
        <v>3.9538617040252078</v>
      </c>
      <c r="DC17" s="357">
        <f t="shared" si="179"/>
        <v>4.6590057456907363</v>
      </c>
      <c r="DD17" s="357">
        <f t="shared" si="179"/>
        <v>4.7639892025972186</v>
      </c>
      <c r="DE17" s="357">
        <f t="shared" si="179"/>
        <v>3.8173018753780985</v>
      </c>
      <c r="DF17" s="357">
        <f t="shared" si="179"/>
        <v>4.3464743191145461</v>
      </c>
      <c r="DG17" s="357">
        <f t="shared" si="179"/>
        <v>6.0932160255944057</v>
      </c>
      <c r="DH17" s="357">
        <f t="shared" si="179"/>
        <v>4.5693465535778355</v>
      </c>
      <c r="DI17" s="357">
        <f t="shared" si="179"/>
        <v>9.1342626559060882</v>
      </c>
      <c r="DJ17" s="357">
        <f t="shared" si="179"/>
        <v>10.056112477145195</v>
      </c>
      <c r="DK17" s="357">
        <f t="shared" si="179"/>
        <v>10.09318808242552</v>
      </c>
      <c r="DL17" s="346">
        <f t="shared" si="179"/>
        <v>6.549475169512986</v>
      </c>
      <c r="DM17" s="357">
        <f t="shared" si="179"/>
        <v>1.3954429014426228</v>
      </c>
      <c r="DN17" s="357">
        <f t="shared" si="179"/>
        <v>4.9932440732096683</v>
      </c>
      <c r="DO17" s="357">
        <f t="shared" si="179"/>
        <v>3.260123541523674</v>
      </c>
      <c r="DP17" s="357">
        <f t="shared" si="179"/>
        <v>6.2895333572025258</v>
      </c>
      <c r="DQ17" s="357">
        <f t="shared" si="179"/>
        <v>9.8607242339832979</v>
      </c>
      <c r="DR17" s="357">
        <f t="shared" si="179"/>
        <v>6.7362041839053699</v>
      </c>
      <c r="DS17" s="357">
        <f t="shared" si="179"/>
        <v>8.366605089088841</v>
      </c>
      <c r="DT17" s="357">
        <f t="shared" si="179"/>
        <v>4.0367349736138758</v>
      </c>
      <c r="DU17" s="357">
        <f t="shared" si="179"/>
        <v>1.9135203061632522</v>
      </c>
      <c r="DV17" s="357">
        <f t="shared" si="179"/>
        <v>5.1708683473389305</v>
      </c>
      <c r="DW17" s="357">
        <f t="shared" si="179"/>
        <v>8.4383593033913851</v>
      </c>
      <c r="DX17" s="270">
        <f t="shared" si="179"/>
        <v>4.8760133524081928</v>
      </c>
      <c r="DY17" s="346">
        <f t="shared" si="179"/>
        <v>5.4377274565305278</v>
      </c>
      <c r="DZ17" s="387">
        <f t="shared" si="179"/>
        <v>4.5874609400970767</v>
      </c>
      <c r="EA17" s="387">
        <f t="shared" si="179"/>
        <v>8.9324363849078594</v>
      </c>
      <c r="EB17" s="387">
        <f t="shared" si="179"/>
        <v>3.9381854436689956</v>
      </c>
      <c r="EC17" s="387">
        <f t="shared" si="179"/>
        <v>1.2968785088704138</v>
      </c>
      <c r="ED17" s="387">
        <f t="shared" si="179"/>
        <v>4.7667342799188717</v>
      </c>
      <c r="EE17" s="387">
        <f t="shared" si="179"/>
        <v>1.9490091172135182</v>
      </c>
      <c r="EF17" s="387">
        <f t="shared" si="179"/>
        <v>5.1031069562826437</v>
      </c>
      <c r="EG17" s="387">
        <f t="shared" si="179"/>
        <v>-1.9038208168642989</v>
      </c>
      <c r="EH17" s="387">
        <f t="shared" si="179"/>
        <v>4.7920636699921637</v>
      </c>
      <c r="EI17" s="387">
        <f t="shared" si="179"/>
        <v>-3.7127789911042486</v>
      </c>
      <c r="EJ17" s="387">
        <f t="shared" si="179"/>
        <v>-17.502245232183423</v>
      </c>
      <c r="EK17" s="387">
        <f t="shared" si="179"/>
        <v>-26.901216323746734</v>
      </c>
      <c r="EL17" s="346">
        <f t="shared" si="179"/>
        <v>-1.4290645164383164</v>
      </c>
      <c r="EM17" s="387">
        <f t="shared" ref="EM17:EX17" si="180">(EM16/DZ16-1)*100</f>
        <v>-43.538236602886016</v>
      </c>
      <c r="EN17" s="387">
        <f t="shared" si="180"/>
        <v>-54.892063151111593</v>
      </c>
      <c r="EO17" s="387">
        <f t="shared" si="180"/>
        <v>-56.15774047428723</v>
      </c>
      <c r="EP17" s="387">
        <f t="shared" si="180"/>
        <v>-53.222856509449642</v>
      </c>
      <c r="EQ17" s="387">
        <f t="shared" si="180"/>
        <v>-51.040658276863503</v>
      </c>
      <c r="ER17" s="387">
        <f t="shared" si="180"/>
        <v>-44.848452393702473</v>
      </c>
      <c r="ES17" s="387">
        <f t="shared" si="180"/>
        <v>-41.374980379846185</v>
      </c>
      <c r="ET17" s="387">
        <f t="shared" si="180"/>
        <v>-34.074273050836076</v>
      </c>
      <c r="EU17" s="387">
        <f t="shared" si="180"/>
        <v>-34.690057228432366</v>
      </c>
      <c r="EV17" s="387">
        <f t="shared" si="180"/>
        <v>-29.447886700597479</v>
      </c>
      <c r="EW17" s="387">
        <f t="shared" si="180"/>
        <v>-16.86731557377049</v>
      </c>
      <c r="EX17" s="387">
        <f t="shared" si="180"/>
        <v>0.57538294067336349</v>
      </c>
      <c r="EY17" s="346">
        <f t="shared" ref="EY17:FX17" si="181">(EY16/EL16-1)*100</f>
        <v>-39.575521479255116</v>
      </c>
      <c r="EZ17" s="387">
        <f t="shared" si="181"/>
        <v>35.904075658635449</v>
      </c>
      <c r="FA17" s="387">
        <f t="shared" si="181"/>
        <v>65.642857142857139</v>
      </c>
      <c r="FB17" s="387">
        <f t="shared" si="181"/>
        <v>77.865564604351519</v>
      </c>
      <c r="FC17" s="387">
        <f t="shared" si="181"/>
        <v>67.748815165876792</v>
      </c>
      <c r="FD17" s="387">
        <f t="shared" si="181"/>
        <v>61.727632229362328</v>
      </c>
      <c r="FE17" s="387">
        <f t="shared" si="181"/>
        <v>49.587338576560839</v>
      </c>
      <c r="FF17" s="387">
        <f t="shared" si="181"/>
        <v>41.517179830432838</v>
      </c>
      <c r="FG17" s="387">
        <f t="shared" si="181"/>
        <v>32.627075481307941</v>
      </c>
      <c r="FH17" s="387">
        <f t="shared" si="181"/>
        <v>28.232740971255431</v>
      </c>
      <c r="FI17" s="387">
        <f t="shared" si="181"/>
        <v>18.997098721869364</v>
      </c>
      <c r="FJ17" s="387">
        <f t="shared" si="181"/>
        <v>20.149437682945614</v>
      </c>
      <c r="FK17" s="387">
        <f t="shared" si="181"/>
        <v>18.187089292616921</v>
      </c>
      <c r="FL17" s="346">
        <f t="shared" si="181"/>
        <v>39.939875888380037</v>
      </c>
      <c r="FM17" s="387">
        <f t="shared" si="181"/>
        <v>17.903239168254494</v>
      </c>
      <c r="FN17" s="387">
        <f t="shared" si="181"/>
        <v>11.31378467730344</v>
      </c>
      <c r="FO17" s="387">
        <f t="shared" si="181"/>
        <v>3.8611357889701381</v>
      </c>
      <c r="FP17" s="387">
        <f t="shared" si="181"/>
        <v>2.2849272496115347</v>
      </c>
      <c r="FQ17" s="387">
        <f t="shared" si="181"/>
        <v>-8.7124627492931932</v>
      </c>
      <c r="FR17" s="387">
        <f t="shared" si="181"/>
        <v>1.3442814487861998</v>
      </c>
      <c r="FS17" s="387">
        <f t="shared" si="181"/>
        <v>-1.8288453049120079E-2</v>
      </c>
      <c r="FT17" s="387">
        <f t="shared" si="181"/>
        <v>10.10138248847927</v>
      </c>
      <c r="FU17" s="387">
        <f t="shared" si="181"/>
        <v>8.6636651020212554</v>
      </c>
      <c r="FV17" s="387">
        <f t="shared" si="181"/>
        <v>13.385873468769137</v>
      </c>
      <c r="FW17" s="387">
        <f t="shared" si="181"/>
        <v>9.2923360986805861</v>
      </c>
      <c r="FX17" s="387">
        <f t="shared" si="181"/>
        <v>4.0523303352412166</v>
      </c>
      <c r="FY17" s="346">
        <f t="shared" ref="FY17:GE17" si="182">(FY16/FL16-1)*100</f>
        <v>6.0160871478240452</v>
      </c>
      <c r="FZ17" s="387">
        <f t="shared" si="182"/>
        <v>4.2860856795545743E-2</v>
      </c>
      <c r="GA17" s="387">
        <f t="shared" si="182"/>
        <v>18.909234126625442</v>
      </c>
      <c r="GB17" s="387">
        <f t="shared" si="182"/>
        <v>9.4933543887353533</v>
      </c>
      <c r="GC17" s="387">
        <f t="shared" si="182"/>
        <v>13.16576321513654</v>
      </c>
      <c r="GD17" s="411">
        <f t="shared" si="182"/>
        <v>20.244751732681564</v>
      </c>
      <c r="GE17" s="411">
        <f t="shared" si="182"/>
        <v>9.2697798643446951</v>
      </c>
      <c r="GF17" s="411">
        <f t="shared" ref="GF17:HY17" si="183">(GF16/FS16-1)*100</f>
        <v>-2.3419809386846402</v>
      </c>
      <c r="GG17" s="411">
        <f t="shared" si="183"/>
        <v>-9.7612869021708839</v>
      </c>
      <c r="GH17" s="411">
        <f t="shared" si="183"/>
        <v>-8.2697133722399396</v>
      </c>
      <c r="GI17" s="411">
        <f t="shared" si="183"/>
        <v>-9.0997320873360437</v>
      </c>
      <c r="GJ17" s="411">
        <f t="shared" si="183"/>
        <v>-11.573161574921398</v>
      </c>
      <c r="GK17" s="411">
        <f t="shared" si="183"/>
        <v>-10.239517193688307</v>
      </c>
      <c r="GL17" s="346">
        <f t="shared" si="183"/>
        <v>0.97919223286642154</v>
      </c>
      <c r="GM17" s="387">
        <f t="shared" si="183"/>
        <v>2.4925903555224727</v>
      </c>
      <c r="GN17" s="387">
        <f t="shared" si="183"/>
        <v>-8.7506583626994932</v>
      </c>
      <c r="GO17" s="387">
        <f t="shared" si="183"/>
        <v>1.6609778376039719</v>
      </c>
      <c r="GP17" s="387">
        <f t="shared" si="183"/>
        <v>6.465056962063942</v>
      </c>
      <c r="GQ17" s="387">
        <f t="shared" si="183"/>
        <v>13.566625363721151</v>
      </c>
      <c r="GR17" s="387">
        <f t="shared" si="183"/>
        <v>3.9793908700850977</v>
      </c>
      <c r="GS17" s="387">
        <f t="shared" si="183"/>
        <v>20.298653990234317</v>
      </c>
      <c r="GT17" s="387">
        <f t="shared" si="183"/>
        <v>18.3497089495126</v>
      </c>
      <c r="GU17" s="387">
        <f t="shared" si="183"/>
        <v>18.9396463352127</v>
      </c>
      <c r="GV17" s="387">
        <f t="shared" si="183"/>
        <v>19.268219393528675</v>
      </c>
      <c r="GW17" s="387">
        <f t="shared" si="183"/>
        <v>41.390313314714454</v>
      </c>
      <c r="GX17" s="387">
        <f t="shared" si="183"/>
        <v>25.335126276421384</v>
      </c>
      <c r="GY17" s="346">
        <f t="shared" si="183"/>
        <v>12.921109566792754</v>
      </c>
      <c r="GZ17" s="387">
        <f t="shared" si="183"/>
        <v>13.500901110798935</v>
      </c>
      <c r="HA17" s="387">
        <f t="shared" si="183"/>
        <v>11.068531951229676</v>
      </c>
      <c r="HB17" s="387">
        <f t="shared" si="183"/>
        <v>12.435272976615529</v>
      </c>
      <c r="HC17" s="387">
        <f t="shared" si="183"/>
        <v>8.6848621013778668</v>
      </c>
      <c r="HD17" s="387">
        <f t="shared" si="183"/>
        <v>8.3466651955646398</v>
      </c>
      <c r="HE17" s="387">
        <f t="shared" si="183"/>
        <v>11.734397636885351</v>
      </c>
      <c r="HF17" s="387">
        <f t="shared" si="183"/>
        <v>12.053302980843572</v>
      </c>
      <c r="HG17" s="387">
        <f t="shared" si="183"/>
        <v>5.9590061138109274</v>
      </c>
      <c r="HH17" s="387">
        <f t="shared" si="183"/>
        <v>9.2576532123830546</v>
      </c>
      <c r="HI17" s="387">
        <f t="shared" si="183"/>
        <v>5.1181714383734311</v>
      </c>
      <c r="HJ17" s="387">
        <f t="shared" si="183"/>
        <v>-10.655168530891078</v>
      </c>
      <c r="HK17" s="387">
        <f t="shared" si="183"/>
        <v>4.2552359239142579</v>
      </c>
      <c r="HL17" s="346">
        <f t="shared" si="183"/>
        <v>7.238448494721661</v>
      </c>
      <c r="HM17" s="387">
        <f t="shared" si="183"/>
        <v>0.87542941322078516</v>
      </c>
      <c r="HN17" s="269">
        <f t="shared" si="183"/>
        <v>0.2196577624910212</v>
      </c>
      <c r="HO17" s="411">
        <f t="shared" si="183"/>
        <v>1.4994032879621644</v>
      </c>
      <c r="HP17" s="269">
        <f t="shared" si="183"/>
        <v>0.42134905526052258</v>
      </c>
      <c r="HQ17" s="411">
        <f t="shared" si="183"/>
        <v>-9.1027381760579331</v>
      </c>
      <c r="HR17" s="411">
        <f t="shared" si="183"/>
        <v>-1.1134711340050174</v>
      </c>
      <c r="HS17" s="411">
        <f t="shared" si="183"/>
        <v>-7.051546194167857</v>
      </c>
      <c r="HT17" s="411">
        <f t="shared" si="183"/>
        <v>-4.5222816069634302</v>
      </c>
      <c r="HU17" s="411">
        <f t="shared" si="183"/>
        <v>-5.6900708485556724</v>
      </c>
      <c r="HV17" s="411">
        <f t="shared" si="183"/>
        <v>-4.7894175900948017</v>
      </c>
      <c r="HW17" s="411">
        <f t="shared" si="183"/>
        <v>-1.7912469935828068</v>
      </c>
      <c r="HX17" s="411">
        <f t="shared" si="183"/>
        <v>-6.7218377990148408</v>
      </c>
      <c r="HY17" s="457">
        <f t="shared" si="183"/>
        <v>-3.1821581921806397</v>
      </c>
      <c r="HZ17" s="411">
        <f t="shared" ref="HZ17" si="184">(HZ16/HM16-1)*100</f>
        <v>0.66912851696461217</v>
      </c>
      <c r="IA17" s="411">
        <f t="shared" ref="IA17" si="185">(IA16/HN16-1)*100</f>
        <v>-2.7188555788393409</v>
      </c>
      <c r="IB17" s="411">
        <f t="shared" ref="IB17" si="186">(IB16/HO16-1)*100</f>
        <v>-2.3287976339084415</v>
      </c>
      <c r="IC17" s="411">
        <f t="shared" ref="IC17" si="187">(IC16/HP16-1)*100</f>
        <v>9.9250110277915304E-2</v>
      </c>
      <c r="ID17" s="411">
        <f t="shared" ref="ID17" si="188">(ID16/HQ16-1)*100</f>
        <v>0.38401692910936536</v>
      </c>
      <c r="IE17" s="411">
        <f t="shared" ref="IE17" si="189">(IE16/HR16-1)*100</f>
        <v>-1.1882531810899932</v>
      </c>
      <c r="IF17" s="411">
        <f t="shared" ref="IF17" si="190">(IF16/HS16-1)*100</f>
        <v>-1.2052229765605382</v>
      </c>
      <c r="IG17" s="411">
        <f t="shared" ref="IG17" si="191">(IG16/HT16-1)*100</f>
        <v>6.7760825913754319</v>
      </c>
      <c r="IH17" s="411">
        <f t="shared" ref="IH17" si="192">(IH16/HU16-1)*100</f>
        <v>3.1240655353763636</v>
      </c>
      <c r="II17" s="411">
        <f t="shared" ref="II17" si="193">(II16/HV16-1)*100</f>
        <v>2.2621540702812304</v>
      </c>
      <c r="IJ17" s="411">
        <f t="shared" ref="IJ17" si="194">(IJ16/HW16-1)*100</f>
        <v>7.4437879314493305</v>
      </c>
      <c r="IK17" s="411">
        <f t="shared" ref="IK17" si="195">(IK16/HX16-1)*100</f>
        <v>9.2558754237775034</v>
      </c>
      <c r="IL17" s="464">
        <f t="shared" ref="IL17" si="196">(IL16/HY16-1)*100</f>
        <v>1.7596088016870848</v>
      </c>
      <c r="IM17" s="411">
        <f>(IM16/HZ16-1)*100</f>
        <v>4.1492024423160467</v>
      </c>
      <c r="IN17" s="501">
        <f>(IN16/IA16-1)*100</f>
        <v>10.106716196463307</v>
      </c>
      <c r="IO17" s="501">
        <f t="shared" ref="IO17:IX17" si="197">(IO16/IB16-1)*100</f>
        <v>8.7953755999257588</v>
      </c>
      <c r="IP17" s="501">
        <f t="shared" si="197"/>
        <v>4.901451601903295</v>
      </c>
      <c r="IQ17" s="501">
        <f t="shared" si="197"/>
        <v>5.5075734560131817</v>
      </c>
      <c r="IR17" s="501">
        <f t="shared" si="197"/>
        <v>5.3786537101196297</v>
      </c>
      <c r="IS17" s="501">
        <f t="shared" si="197"/>
        <v>6.4695722954746016</v>
      </c>
      <c r="IT17" s="501">
        <f t="shared" si="197"/>
        <v>2.8794640157699281</v>
      </c>
      <c r="IU17" s="501">
        <f t="shared" si="197"/>
        <v>3.7858805983314481</v>
      </c>
      <c r="IV17" s="501">
        <f t="shared" si="197"/>
        <v>9.3643449504689169</v>
      </c>
      <c r="IW17" s="501">
        <f t="shared" si="197"/>
        <v>4.9687462674682603</v>
      </c>
      <c r="IX17" s="501">
        <f t="shared" si="197"/>
        <v>4.2716342866760071</v>
      </c>
      <c r="IY17" s="464">
        <f t="shared" ref="IY17" si="198">(IY16/IL16-1)*100</f>
        <v>5.9088771068755097</v>
      </c>
      <c r="IZ17" s="501">
        <f>(IZ16/IM16-1)*100</f>
        <v>-1.05034821326635</v>
      </c>
      <c r="JA17" s="501">
        <f>(JA16/IN16-1)*100</f>
        <v>0.68872585716424073</v>
      </c>
      <c r="JB17" s="501">
        <f t="shared" ref="JB17:JG17" si="199">(JB16/IO16-1)*100</f>
        <v>0.95539848891055268</v>
      </c>
      <c r="JC17" s="501">
        <f t="shared" si="199"/>
        <v>4.6559311862372388</v>
      </c>
      <c r="JD17" s="501">
        <f t="shared" si="199"/>
        <v>6.2466944819886017</v>
      </c>
      <c r="JE17" s="501">
        <f t="shared" si="199"/>
        <v>5.6298691753638108</v>
      </c>
      <c r="JF17" s="501">
        <f t="shared" si="199"/>
        <v>6.4395981377113554</v>
      </c>
      <c r="JG17" s="501">
        <f t="shared" si="199"/>
        <v>5.8657576113788634</v>
      </c>
      <c r="JH17" s="501">
        <f>(JH16/20473-1)*100</f>
        <v>0.46891027206563685</v>
      </c>
      <c r="JI17" s="501">
        <f t="shared" ref="JI17:JK17" si="200">(JI16/IV16-1)*100</f>
        <v>5.5648675829701677</v>
      </c>
      <c r="JJ17" s="501">
        <f t="shared" si="200"/>
        <v>2.6645173525507326</v>
      </c>
      <c r="JK17" s="501">
        <f t="shared" si="200"/>
        <v>2.4361948955916368</v>
      </c>
      <c r="JL17" s="510">
        <f t="shared" ref="JL17" si="201">(JL16/IY16-1)*100</f>
        <v>3.3624879349272607</v>
      </c>
      <c r="JM17" s="501">
        <f t="shared" si="117"/>
        <v>1.6037844698280734</v>
      </c>
      <c r="JN17" s="564">
        <f>(JN16/JA16-1)*100</f>
        <v>10.998760842627009</v>
      </c>
    </row>
    <row r="18" spans="1:274" ht="13.5" customHeight="1" x14ac:dyDescent="0.3">
      <c r="A18" s="544"/>
      <c r="B18" s="45" t="s">
        <v>103</v>
      </c>
      <c r="C18" s="187">
        <v>21620</v>
      </c>
      <c r="D18" s="188">
        <v>23968</v>
      </c>
      <c r="E18" s="189">
        <v>23291</v>
      </c>
      <c r="F18" s="188">
        <v>20902</v>
      </c>
      <c r="G18" s="189">
        <v>19267</v>
      </c>
      <c r="H18" s="188">
        <v>19660</v>
      </c>
      <c r="I18" s="189">
        <v>20477</v>
      </c>
      <c r="J18" s="188">
        <v>20345</v>
      </c>
      <c r="K18" s="189">
        <v>20969</v>
      </c>
      <c r="L18" s="239">
        <v>18055</v>
      </c>
      <c r="M18" s="189">
        <v>17967</v>
      </c>
      <c r="N18" s="191">
        <f>SUM(AA18:AL18)</f>
        <v>19860</v>
      </c>
      <c r="O18" s="189">
        <v>1286</v>
      </c>
      <c r="P18" s="188">
        <v>1560</v>
      </c>
      <c r="Q18" s="188">
        <v>1635</v>
      </c>
      <c r="R18" s="188">
        <v>1449</v>
      </c>
      <c r="S18" s="188">
        <v>1309</v>
      </c>
      <c r="T18" s="188">
        <v>1534</v>
      </c>
      <c r="U18" s="188">
        <v>1538</v>
      </c>
      <c r="V18" s="188">
        <v>1252</v>
      </c>
      <c r="W18" s="188">
        <v>1583</v>
      </c>
      <c r="X18" s="188">
        <v>1562</v>
      </c>
      <c r="Y18" s="188">
        <v>1636</v>
      </c>
      <c r="Z18" s="188">
        <v>1623</v>
      </c>
      <c r="AA18" s="189">
        <v>1421</v>
      </c>
      <c r="AB18" s="188">
        <v>1674</v>
      </c>
      <c r="AC18" s="189">
        <v>1777</v>
      </c>
      <c r="AD18" s="188">
        <v>1653</v>
      </c>
      <c r="AE18" s="189">
        <v>1509</v>
      </c>
      <c r="AF18" s="188">
        <v>1777</v>
      </c>
      <c r="AG18" s="189">
        <v>1718</v>
      </c>
      <c r="AH18" s="188">
        <v>1455</v>
      </c>
      <c r="AI18" s="189">
        <v>1714</v>
      </c>
      <c r="AJ18" s="188">
        <v>1744</v>
      </c>
      <c r="AK18" s="189">
        <v>1721</v>
      </c>
      <c r="AL18" s="188">
        <v>1697</v>
      </c>
      <c r="AM18" s="189">
        <f>SUM(AN18:AY18)</f>
        <v>18965</v>
      </c>
      <c r="AN18" s="226">
        <v>1473</v>
      </c>
      <c r="AO18" s="189">
        <v>1692</v>
      </c>
      <c r="AP18" s="227">
        <v>1717</v>
      </c>
      <c r="AQ18" s="194">
        <v>1626</v>
      </c>
      <c r="AR18" s="194">
        <v>1439</v>
      </c>
      <c r="AS18" s="194">
        <v>1634</v>
      </c>
      <c r="AT18" s="194">
        <v>1617</v>
      </c>
      <c r="AU18" s="194">
        <v>1408</v>
      </c>
      <c r="AV18" s="194">
        <v>1604</v>
      </c>
      <c r="AW18" s="194">
        <v>1659</v>
      </c>
      <c r="AX18" s="194">
        <v>1601</v>
      </c>
      <c r="AY18" s="195">
        <v>1495</v>
      </c>
      <c r="AZ18" s="196">
        <f>SUM(BA18:BL18)</f>
        <v>19907</v>
      </c>
      <c r="BA18" s="228">
        <v>1412</v>
      </c>
      <c r="BB18" s="198">
        <v>1633</v>
      </c>
      <c r="BC18" s="198">
        <v>1639</v>
      </c>
      <c r="BD18" s="198">
        <v>1652</v>
      </c>
      <c r="BE18" s="198">
        <v>1527</v>
      </c>
      <c r="BF18" s="198">
        <v>1711</v>
      </c>
      <c r="BG18" s="198">
        <v>1791</v>
      </c>
      <c r="BH18" s="198">
        <v>1463</v>
      </c>
      <c r="BI18" s="198">
        <v>1760</v>
      </c>
      <c r="BJ18" s="198">
        <v>1805</v>
      </c>
      <c r="BK18" s="198">
        <v>1774</v>
      </c>
      <c r="BL18" s="198">
        <v>1740</v>
      </c>
      <c r="BM18" s="199">
        <v>1586</v>
      </c>
      <c r="BN18" s="199">
        <v>1783</v>
      </c>
      <c r="BO18" s="199">
        <v>1820</v>
      </c>
      <c r="BP18" s="199">
        <v>1754</v>
      </c>
      <c r="BQ18" s="199">
        <v>1675</v>
      </c>
      <c r="BR18" s="199">
        <v>1942</v>
      </c>
      <c r="BS18" s="199">
        <v>1895</v>
      </c>
      <c r="BT18" s="199">
        <v>1565</v>
      </c>
      <c r="BU18" s="199">
        <v>1980</v>
      </c>
      <c r="BV18" s="199">
        <v>1990</v>
      </c>
      <c r="BW18" s="199">
        <v>1890</v>
      </c>
      <c r="BX18" s="199">
        <v>1926</v>
      </c>
      <c r="BY18" s="168">
        <f>SUM(BM18:BX18)</f>
        <v>21806</v>
      </c>
      <c r="BZ18" s="228">
        <v>1750</v>
      </c>
      <c r="CA18" s="198">
        <v>1984</v>
      </c>
      <c r="CB18" s="198">
        <v>2105</v>
      </c>
      <c r="CC18" s="198">
        <v>2018</v>
      </c>
      <c r="CD18" s="198">
        <v>1794</v>
      </c>
      <c r="CE18" s="235">
        <v>2109</v>
      </c>
      <c r="CF18" s="236">
        <v>2052</v>
      </c>
      <c r="CG18" s="236">
        <v>1744</v>
      </c>
      <c r="CH18" s="236">
        <v>2052</v>
      </c>
      <c r="CI18" s="236">
        <v>2022</v>
      </c>
      <c r="CJ18" s="236">
        <v>2105.9189999999999</v>
      </c>
      <c r="CK18" s="343">
        <v>2013</v>
      </c>
      <c r="CL18" s="345">
        <f>SUM(BZ18:CK18)</f>
        <v>23748.919000000002</v>
      </c>
      <c r="CM18" s="277">
        <v>1819</v>
      </c>
      <c r="CN18" s="278">
        <v>2049</v>
      </c>
      <c r="CO18" s="278">
        <v>2209</v>
      </c>
      <c r="CP18" s="361">
        <v>2109</v>
      </c>
      <c r="CQ18" s="361">
        <v>1858</v>
      </c>
      <c r="CR18" s="361">
        <v>2205</v>
      </c>
      <c r="CS18" s="361">
        <v>2179</v>
      </c>
      <c r="CT18" s="361">
        <v>1825</v>
      </c>
      <c r="CU18" s="361">
        <v>2286</v>
      </c>
      <c r="CV18" s="361">
        <v>2257</v>
      </c>
      <c r="CW18" s="361">
        <v>2238</v>
      </c>
      <c r="CX18" s="353">
        <v>2122</v>
      </c>
      <c r="CY18" s="345">
        <f>SUM(CM18:CX18)</f>
        <v>25156</v>
      </c>
      <c r="CZ18" s="361">
        <v>1981</v>
      </c>
      <c r="DA18" s="361">
        <v>2239</v>
      </c>
      <c r="DB18" s="361">
        <v>2406</v>
      </c>
      <c r="DC18" s="361">
        <v>2301</v>
      </c>
      <c r="DD18" s="361">
        <v>1963</v>
      </c>
      <c r="DE18" s="361">
        <v>2373</v>
      </c>
      <c r="DF18" s="361">
        <v>2303</v>
      </c>
      <c r="DG18" s="361">
        <v>2037</v>
      </c>
      <c r="DH18" s="361">
        <v>2423</v>
      </c>
      <c r="DI18" s="361">
        <v>2459</v>
      </c>
      <c r="DJ18" s="361">
        <v>2426</v>
      </c>
      <c r="DK18" s="361">
        <v>2338</v>
      </c>
      <c r="DL18" s="345">
        <f>SUM(CZ18:DK18)</f>
        <v>27249</v>
      </c>
      <c r="DM18" s="361">
        <v>2089</v>
      </c>
      <c r="DN18" s="361">
        <v>2391</v>
      </c>
      <c r="DO18" s="361">
        <v>2502</v>
      </c>
      <c r="DP18" s="361">
        <v>2494</v>
      </c>
      <c r="DQ18" s="361">
        <v>2178</v>
      </c>
      <c r="DR18" s="361">
        <v>2544</v>
      </c>
      <c r="DS18" s="361">
        <v>2527</v>
      </c>
      <c r="DT18" s="361">
        <v>2122</v>
      </c>
      <c r="DU18" s="361">
        <v>2507</v>
      </c>
      <c r="DV18" s="361">
        <v>2638</v>
      </c>
      <c r="DW18" s="361">
        <v>2655</v>
      </c>
      <c r="DX18" s="278">
        <v>2481</v>
      </c>
      <c r="DY18" s="385">
        <f>SUM(DM18:DX18)</f>
        <v>29128</v>
      </c>
      <c r="DZ18" s="391">
        <v>2223</v>
      </c>
      <c r="EA18" s="391">
        <v>2661</v>
      </c>
      <c r="EB18" s="391">
        <v>2680</v>
      </c>
      <c r="EC18" s="391">
        <v>2560</v>
      </c>
      <c r="ED18" s="391">
        <v>2365</v>
      </c>
      <c r="EE18" s="391">
        <v>2681</v>
      </c>
      <c r="EF18" s="391">
        <v>2691</v>
      </c>
      <c r="EG18" s="391">
        <v>2123</v>
      </c>
      <c r="EH18" s="391">
        <v>2642</v>
      </c>
      <c r="EI18" s="391">
        <v>2551</v>
      </c>
      <c r="EJ18" s="391">
        <v>2199</v>
      </c>
      <c r="EK18" s="391">
        <v>1782</v>
      </c>
      <c r="EL18" s="385">
        <f>SUM(DZ18:EK18)</f>
        <v>29158</v>
      </c>
      <c r="EM18" s="391">
        <v>1266</v>
      </c>
      <c r="EN18" s="391">
        <v>1218</v>
      </c>
      <c r="EO18" s="391">
        <v>1190</v>
      </c>
      <c r="EP18" s="391">
        <v>1223.9179999999999</v>
      </c>
      <c r="EQ18" s="391">
        <v>1173.01</v>
      </c>
      <c r="ER18" s="391">
        <v>1477.1179999999999</v>
      </c>
      <c r="ES18" s="391">
        <v>1609.681</v>
      </c>
      <c r="ET18" s="391">
        <v>1403.7439999999999</v>
      </c>
      <c r="EU18" s="391">
        <v>1775.287</v>
      </c>
      <c r="EV18" s="391">
        <v>1837.463</v>
      </c>
      <c r="EW18" s="391">
        <v>1879.634</v>
      </c>
      <c r="EX18" s="391">
        <v>1782.856</v>
      </c>
      <c r="EY18" s="385">
        <f>SUM(EM18:EX18)</f>
        <v>17836.711000000003</v>
      </c>
      <c r="EZ18" s="391">
        <v>1731.0239999999999</v>
      </c>
      <c r="FA18" s="391">
        <v>2012.1759999999999</v>
      </c>
      <c r="FB18" s="391">
        <v>2097.9279999999999</v>
      </c>
      <c r="FC18" s="391">
        <v>2038.229</v>
      </c>
      <c r="FD18" s="391">
        <v>1885.566</v>
      </c>
      <c r="FE18" s="391">
        <v>2225.4369999999999</v>
      </c>
      <c r="FF18" s="391">
        <v>2255.8159999999998</v>
      </c>
      <c r="FG18" s="391">
        <v>1863.395</v>
      </c>
      <c r="FH18" s="391">
        <v>2237.9490000000001</v>
      </c>
      <c r="FI18" s="391">
        <v>2158.732</v>
      </c>
      <c r="FJ18" s="391">
        <v>2231.9699999999998</v>
      </c>
      <c r="FK18" s="391">
        <v>2172.8809999999999</v>
      </c>
      <c r="FL18" s="385">
        <f>SUM(EZ18:FK18)</f>
        <v>24911.103000000003</v>
      </c>
      <c r="FM18" s="391">
        <v>1978.797</v>
      </c>
      <c r="FN18" s="391">
        <v>2224.3339999999998</v>
      </c>
      <c r="FO18" s="391">
        <v>2172.7280000000001</v>
      </c>
      <c r="FP18" s="391">
        <v>2095.86</v>
      </c>
      <c r="FQ18" s="391">
        <v>1701.4480000000001</v>
      </c>
      <c r="FR18" s="391">
        <v>2249.951</v>
      </c>
      <c r="FS18" s="391">
        <v>2278.846</v>
      </c>
      <c r="FT18" s="391">
        <v>2060.902</v>
      </c>
      <c r="FU18" s="391">
        <v>2414.7080000000001</v>
      </c>
      <c r="FV18" s="391">
        <v>2437.2330000000002</v>
      </c>
      <c r="FW18" s="391">
        <v>2401.9140000000002</v>
      </c>
      <c r="FX18" s="391">
        <v>2248.2150000000001</v>
      </c>
      <c r="FY18" s="385">
        <f>SUM(FM18:FX18)</f>
        <v>26264.935999999998</v>
      </c>
      <c r="FZ18" s="391">
        <v>2014.914</v>
      </c>
      <c r="GA18" s="391">
        <v>2619.9589999999998</v>
      </c>
      <c r="GB18" s="391">
        <v>2397.335</v>
      </c>
      <c r="GC18" s="391">
        <v>2327.8690000000001</v>
      </c>
      <c r="GD18" s="415">
        <v>2075.2539999999999</v>
      </c>
      <c r="GE18" s="415">
        <v>2364.549</v>
      </c>
      <c r="GF18" s="415">
        <v>2323.7930000000001</v>
      </c>
      <c r="GG18" s="415">
        <v>1869.8920000000001</v>
      </c>
      <c r="GH18" s="415">
        <v>2281.9119999999998</v>
      </c>
      <c r="GI18" s="415">
        <v>2277.3029999999999</v>
      </c>
      <c r="GJ18" s="415">
        <v>2097.9659999999999</v>
      </c>
      <c r="GK18" s="415">
        <v>1959.2339999999999</v>
      </c>
      <c r="GL18" s="385">
        <f>SUM(FZ18:GK18)</f>
        <v>26609.98</v>
      </c>
      <c r="GM18" s="391">
        <v>1985.0250000000001</v>
      </c>
      <c r="GN18" s="391">
        <v>2343.375</v>
      </c>
      <c r="GO18" s="391">
        <v>2364.672</v>
      </c>
      <c r="GP18" s="391">
        <v>2427.163</v>
      </c>
      <c r="GQ18" s="391">
        <v>2264.39</v>
      </c>
      <c r="GR18" s="391">
        <v>2462.625</v>
      </c>
      <c r="GS18" s="391">
        <v>2608.991</v>
      </c>
      <c r="GT18" s="391">
        <v>2113.4470000000001</v>
      </c>
      <c r="GU18" s="391">
        <v>2579.0410000000002</v>
      </c>
      <c r="GV18" s="391">
        <v>2608.0450000000001</v>
      </c>
      <c r="GW18" s="391">
        <v>2583.893</v>
      </c>
      <c r="GX18" s="391">
        <v>2488.6750000000002</v>
      </c>
      <c r="GY18" s="385">
        <f>SUM(GM18:GX18)</f>
        <v>28829.342000000004</v>
      </c>
      <c r="GZ18" s="391">
        <v>2315.2759999999998</v>
      </c>
      <c r="HA18" s="391">
        <v>2580.8229999999999</v>
      </c>
      <c r="HB18" s="391">
        <v>2600.4569999999999</v>
      </c>
      <c r="HC18" s="391">
        <v>2626.9740000000002</v>
      </c>
      <c r="HD18" s="391">
        <v>2458.741</v>
      </c>
      <c r="HE18" s="391">
        <v>2758.9929999999999</v>
      </c>
      <c r="HF18" s="391">
        <v>2775.652</v>
      </c>
      <c r="HG18" s="391">
        <v>2196.6790000000001</v>
      </c>
      <c r="HH18" s="391">
        <v>2789.817</v>
      </c>
      <c r="HI18" s="391">
        <v>2727.4949999999999</v>
      </c>
      <c r="HJ18" s="391">
        <v>2576.9349999999999</v>
      </c>
      <c r="HK18" s="391">
        <v>2567.6480000000001</v>
      </c>
      <c r="HL18" s="385">
        <f>SUM(GZ18:HK18)</f>
        <v>30975.49</v>
      </c>
      <c r="HM18" s="391">
        <v>2366.5889999999999</v>
      </c>
      <c r="HN18" s="277">
        <v>2627.375</v>
      </c>
      <c r="HO18" s="429">
        <v>2712.8939999999998</v>
      </c>
      <c r="HP18" s="426">
        <v>2623.7190000000001</v>
      </c>
      <c r="HQ18" s="433">
        <v>2283.0439999999999</v>
      </c>
      <c r="HR18" s="433">
        <v>2772.61</v>
      </c>
      <c r="HS18" s="433">
        <v>2725.127</v>
      </c>
      <c r="HT18" s="433">
        <v>2156.7420000000002</v>
      </c>
      <c r="HU18" s="433">
        <v>2697.5990000000002</v>
      </c>
      <c r="HV18" s="433">
        <v>2609.4949999999999</v>
      </c>
      <c r="HW18" s="433">
        <v>2635.489</v>
      </c>
      <c r="HX18" s="433">
        <v>2461.6970000000001</v>
      </c>
      <c r="HY18" s="461">
        <f>SUM(HM18:HX18)</f>
        <v>30672.38</v>
      </c>
      <c r="HZ18" s="467">
        <v>2301849</v>
      </c>
      <c r="IA18" s="467">
        <v>2639598</v>
      </c>
      <c r="IB18" s="467">
        <v>2677370</v>
      </c>
      <c r="IC18" s="467">
        <v>2672738</v>
      </c>
      <c r="ID18" s="467">
        <v>2266981</v>
      </c>
      <c r="IE18" s="467">
        <v>2709984</v>
      </c>
      <c r="IF18" s="467">
        <v>2691612</v>
      </c>
      <c r="IG18" s="467">
        <v>2324288</v>
      </c>
      <c r="IH18" s="467">
        <v>2793736</v>
      </c>
      <c r="II18" s="467">
        <v>2709437</v>
      </c>
      <c r="IJ18" s="467">
        <v>2810430</v>
      </c>
      <c r="IK18" s="467">
        <v>2689234</v>
      </c>
      <c r="IL18" s="468">
        <f>SUM(HZ18:IK18)</f>
        <v>31287257</v>
      </c>
      <c r="IM18" s="467">
        <v>2469618</v>
      </c>
      <c r="IN18" s="467">
        <v>2764832</v>
      </c>
      <c r="IO18" s="467">
        <v>2929127</v>
      </c>
      <c r="IP18" s="467">
        <v>2807426</v>
      </c>
      <c r="IQ18" s="467">
        <v>2436674</v>
      </c>
      <c r="IR18" s="467">
        <v>2906352</v>
      </c>
      <c r="IS18" s="467">
        <v>2934400</v>
      </c>
      <c r="IT18" s="467">
        <v>2442701</v>
      </c>
      <c r="IU18" s="467">
        <v>2891605</v>
      </c>
      <c r="IV18" s="467">
        <v>3003660</v>
      </c>
      <c r="IW18" s="467">
        <v>3040285</v>
      </c>
      <c r="IX18" s="467">
        <v>2852957</v>
      </c>
      <c r="IY18" s="468">
        <f>SUM(IM18:IX18)</f>
        <v>33479637</v>
      </c>
      <c r="IZ18" s="467">
        <v>2513890</v>
      </c>
      <c r="JA18" s="467">
        <v>2924973</v>
      </c>
      <c r="JB18" s="467">
        <v>3020612</v>
      </c>
      <c r="JC18" s="467">
        <v>2984974</v>
      </c>
      <c r="JD18" s="467">
        <v>2651389</v>
      </c>
      <c r="JE18" s="467">
        <v>3130598</v>
      </c>
      <c r="JF18" s="520">
        <v>3156</v>
      </c>
      <c r="JG18" s="520">
        <v>2581</v>
      </c>
      <c r="JH18" s="520">
        <v>2978</v>
      </c>
      <c r="JI18" s="520">
        <v>3190</v>
      </c>
      <c r="JJ18" s="520">
        <v>3133</v>
      </c>
      <c r="JK18" s="522">
        <v>2929</v>
      </c>
      <c r="JL18" s="524">
        <v>35194</v>
      </c>
      <c r="JM18" s="522">
        <v>2506</v>
      </c>
      <c r="JN18" s="565">
        <v>3032</v>
      </c>
    </row>
    <row r="19" spans="1:274" ht="13.5" customHeight="1" thickBot="1" x14ac:dyDescent="0.35">
      <c r="A19" s="551"/>
      <c r="B19" s="44" t="s">
        <v>102</v>
      </c>
      <c r="C19" s="201"/>
      <c r="D19" s="202">
        <f t="shared" ref="D19:M19" si="202">(D18/C18-1)*100</f>
        <v>10.860314523589265</v>
      </c>
      <c r="E19" s="202">
        <f t="shared" si="202"/>
        <v>-2.8245994659546025</v>
      </c>
      <c r="F19" s="202">
        <f t="shared" si="202"/>
        <v>-10.257180885320505</v>
      </c>
      <c r="G19" s="202">
        <f t="shared" si="202"/>
        <v>-7.8222179695722875</v>
      </c>
      <c r="H19" s="202">
        <f t="shared" si="202"/>
        <v>2.0397570976280699</v>
      </c>
      <c r="I19" s="202">
        <f t="shared" si="202"/>
        <v>4.1556459816887159</v>
      </c>
      <c r="J19" s="202">
        <f t="shared" si="202"/>
        <v>-0.64462567758949429</v>
      </c>
      <c r="K19" s="202">
        <f t="shared" si="202"/>
        <v>3.0670926517571973</v>
      </c>
      <c r="L19" s="202">
        <f t="shared" si="202"/>
        <v>-13.896704659258907</v>
      </c>
      <c r="M19" s="202">
        <f t="shared" si="202"/>
        <v>-0.48739961229575801</v>
      </c>
      <c r="N19" s="202">
        <f>(N18/M18-1)*100</f>
        <v>10.535982634830532</v>
      </c>
      <c r="O19" s="203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5"/>
      <c r="AA19" s="202">
        <f t="shared" ref="AA19:AL19" si="203">(AA18/O18-1)*100</f>
        <v>10.497667185069993</v>
      </c>
      <c r="AB19" s="202">
        <f t="shared" si="203"/>
        <v>7.3076923076923039</v>
      </c>
      <c r="AC19" s="202">
        <f t="shared" si="203"/>
        <v>8.6850152905198819</v>
      </c>
      <c r="AD19" s="202">
        <f t="shared" si="203"/>
        <v>14.078674948240156</v>
      </c>
      <c r="AE19" s="202">
        <f t="shared" si="203"/>
        <v>15.278838808250583</v>
      </c>
      <c r="AF19" s="202">
        <f t="shared" si="203"/>
        <v>15.840938722294663</v>
      </c>
      <c r="AG19" s="202">
        <f t="shared" si="203"/>
        <v>11.703511053315996</v>
      </c>
      <c r="AH19" s="202">
        <f t="shared" si="203"/>
        <v>16.214057507987214</v>
      </c>
      <c r="AI19" s="202">
        <f t="shared" si="203"/>
        <v>8.2754264055590721</v>
      </c>
      <c r="AJ19" s="202">
        <f t="shared" si="203"/>
        <v>11.651728553137009</v>
      </c>
      <c r="AK19" s="202">
        <f t="shared" si="203"/>
        <v>5.195599022004882</v>
      </c>
      <c r="AL19" s="206">
        <f t="shared" si="203"/>
        <v>4.5594577942082548</v>
      </c>
      <c r="AM19" s="202">
        <f>(AM18/N18-1)*100</f>
        <v>-4.5065458207452114</v>
      </c>
      <c r="AN19" s="207">
        <f t="shared" ref="AN19:AY19" si="204">(AN18/AA18-1)*100</f>
        <v>3.6593947923997172</v>
      </c>
      <c r="AO19" s="202">
        <f t="shared" si="204"/>
        <v>1.0752688172043001</v>
      </c>
      <c r="AP19" s="206">
        <f t="shared" si="204"/>
        <v>-3.3764772087788386</v>
      </c>
      <c r="AQ19" s="202">
        <f t="shared" si="204"/>
        <v>-1.6333938294010864</v>
      </c>
      <c r="AR19" s="202">
        <f t="shared" si="204"/>
        <v>-4.6388336646785984</v>
      </c>
      <c r="AS19" s="208">
        <f t="shared" si="204"/>
        <v>-8.0472706809229031</v>
      </c>
      <c r="AT19" s="202">
        <f t="shared" si="204"/>
        <v>-5.8789289871944099</v>
      </c>
      <c r="AU19" s="208">
        <f t="shared" si="204"/>
        <v>-3.2302405498281783</v>
      </c>
      <c r="AV19" s="202">
        <f t="shared" si="204"/>
        <v>-6.4177362893815593</v>
      </c>
      <c r="AW19" s="208">
        <f t="shared" si="204"/>
        <v>-4.8738532110091715</v>
      </c>
      <c r="AX19" s="202">
        <f t="shared" si="204"/>
        <v>-6.9726902963393345</v>
      </c>
      <c r="AY19" s="209">
        <f t="shared" si="204"/>
        <v>-11.90335886859163</v>
      </c>
      <c r="AZ19" s="210">
        <f t="shared" ref="AZ19:BL19" si="205">(AZ18/AM18-1)*100</f>
        <v>4.9670445557606024</v>
      </c>
      <c r="BA19" s="232">
        <f t="shared" si="205"/>
        <v>-4.1412084181941644</v>
      </c>
      <c r="BB19" s="215">
        <f t="shared" si="205"/>
        <v>-3.4869976359338084</v>
      </c>
      <c r="BC19" s="215">
        <f t="shared" si="205"/>
        <v>-4.5428072218986593</v>
      </c>
      <c r="BD19" s="215">
        <f t="shared" si="205"/>
        <v>1.5990159901599021</v>
      </c>
      <c r="BE19" s="215">
        <f t="shared" si="205"/>
        <v>6.1153578874218129</v>
      </c>
      <c r="BF19" s="215">
        <f t="shared" si="205"/>
        <v>4.7123623011015914</v>
      </c>
      <c r="BG19" s="215">
        <f t="shared" si="205"/>
        <v>10.760667903525057</v>
      </c>
      <c r="BH19" s="215">
        <f t="shared" si="205"/>
        <v>3.90625</v>
      </c>
      <c r="BI19" s="215">
        <f t="shared" si="205"/>
        <v>9.7256857855361645</v>
      </c>
      <c r="BJ19" s="215">
        <f t="shared" si="205"/>
        <v>8.8004822182037312</v>
      </c>
      <c r="BK19" s="215">
        <f t="shared" si="205"/>
        <v>10.805746408494699</v>
      </c>
      <c r="BL19" s="215">
        <f t="shared" si="205"/>
        <v>16.387959866220726</v>
      </c>
      <c r="BM19" s="233">
        <f t="shared" ref="BM19:BX19" si="206">(BM18/BA18-1)*100</f>
        <v>12.322946175637384</v>
      </c>
      <c r="BN19" s="233">
        <f t="shared" si="206"/>
        <v>9.1855480710349102</v>
      </c>
      <c r="BO19" s="233">
        <f t="shared" si="206"/>
        <v>11.043319097010373</v>
      </c>
      <c r="BP19" s="233">
        <f t="shared" si="206"/>
        <v>6.1743341404358443</v>
      </c>
      <c r="BQ19" s="233">
        <f t="shared" si="206"/>
        <v>9.6922069417157743</v>
      </c>
      <c r="BR19" s="233">
        <f t="shared" si="206"/>
        <v>13.500876680303907</v>
      </c>
      <c r="BS19" s="233">
        <f t="shared" si="206"/>
        <v>5.8068118369625887</v>
      </c>
      <c r="BT19" s="233">
        <f t="shared" si="206"/>
        <v>6.9719753930280293</v>
      </c>
      <c r="BU19" s="233">
        <f t="shared" si="206"/>
        <v>12.5</v>
      </c>
      <c r="BV19" s="233">
        <f t="shared" si="206"/>
        <v>10.249307479224367</v>
      </c>
      <c r="BW19" s="233">
        <f t="shared" si="206"/>
        <v>6.5388951521984318</v>
      </c>
      <c r="BX19" s="233">
        <f t="shared" si="206"/>
        <v>10.689655172413804</v>
      </c>
      <c r="BY19" s="182">
        <f>(BY18/AZ18-1)*100</f>
        <v>9.5393580147686841</v>
      </c>
      <c r="BZ19" s="240">
        <f t="shared" ref="BZ19:CK19" si="207">(BZ18/BM18-1)*100</f>
        <v>10.340479192938211</v>
      </c>
      <c r="CA19" s="212">
        <f t="shared" si="207"/>
        <v>11.273135165451475</v>
      </c>
      <c r="CB19" s="212">
        <f t="shared" si="207"/>
        <v>15.659340659340671</v>
      </c>
      <c r="CC19" s="212">
        <f t="shared" si="207"/>
        <v>15.051311288483472</v>
      </c>
      <c r="CD19" s="212">
        <f t="shared" si="207"/>
        <v>7.1044776119403075</v>
      </c>
      <c r="CE19" s="217">
        <f t="shared" si="207"/>
        <v>8.5993820803295549</v>
      </c>
      <c r="CF19" s="217">
        <f t="shared" si="207"/>
        <v>8.2849604221635786</v>
      </c>
      <c r="CG19" s="217">
        <f t="shared" si="207"/>
        <v>11.437699680511182</v>
      </c>
      <c r="CH19" s="217">
        <f t="shared" si="207"/>
        <v>3.6363636363636376</v>
      </c>
      <c r="CI19" s="217">
        <f t="shared" si="207"/>
        <v>1.6080402010050232</v>
      </c>
      <c r="CJ19" s="217">
        <f t="shared" si="207"/>
        <v>11.424285714285709</v>
      </c>
      <c r="CK19" s="342">
        <f t="shared" si="207"/>
        <v>4.5171339563862878</v>
      </c>
      <c r="CL19" s="181">
        <f t="shared" ref="CL19:EL19" si="208">(CL18/BY18-1)*100</f>
        <v>8.910020177932676</v>
      </c>
      <c r="CM19" s="273">
        <f t="shared" si="208"/>
        <v>3.9428571428571368</v>
      </c>
      <c r="CN19" s="274">
        <f t="shared" si="208"/>
        <v>3.2762096774193505</v>
      </c>
      <c r="CO19" s="274">
        <f t="shared" si="208"/>
        <v>4.9406175771971483</v>
      </c>
      <c r="CP19" s="359">
        <f t="shared" si="208"/>
        <v>4.5094152626362627</v>
      </c>
      <c r="CQ19" s="359">
        <f t="shared" si="208"/>
        <v>3.5674470457079055</v>
      </c>
      <c r="CR19" s="359">
        <f t="shared" si="208"/>
        <v>4.5519203413940224</v>
      </c>
      <c r="CS19" s="359">
        <f t="shared" si="208"/>
        <v>6.1890838206627663</v>
      </c>
      <c r="CT19" s="359">
        <f t="shared" si="208"/>
        <v>4.6444954128440408</v>
      </c>
      <c r="CU19" s="359">
        <f t="shared" si="208"/>
        <v>11.403508771929815</v>
      </c>
      <c r="CV19" s="359">
        <f t="shared" si="208"/>
        <v>11.622156280909991</v>
      </c>
      <c r="CW19" s="359">
        <f t="shared" si="208"/>
        <v>6.271893648331206</v>
      </c>
      <c r="CX19" s="351">
        <f t="shared" si="208"/>
        <v>5.4148037754595091</v>
      </c>
      <c r="CY19" s="181">
        <f t="shared" si="208"/>
        <v>5.9248212518641319</v>
      </c>
      <c r="CZ19" s="359">
        <f t="shared" si="208"/>
        <v>8.9059923034634494</v>
      </c>
      <c r="DA19" s="359">
        <f t="shared" si="208"/>
        <v>9.272816007808693</v>
      </c>
      <c r="DB19" s="359">
        <f t="shared" si="208"/>
        <v>8.918062471706655</v>
      </c>
      <c r="DC19" s="359">
        <f t="shared" si="208"/>
        <v>9.1038406827880447</v>
      </c>
      <c r="DD19" s="359">
        <f t="shared" si="208"/>
        <v>5.6512378902045191</v>
      </c>
      <c r="DE19" s="359">
        <f t="shared" si="208"/>
        <v>7.6190476190476142</v>
      </c>
      <c r="DF19" s="359">
        <f t="shared" si="208"/>
        <v>5.6906837999082249</v>
      </c>
      <c r="DG19" s="359">
        <f t="shared" si="208"/>
        <v>11.616438356164394</v>
      </c>
      <c r="DH19" s="359">
        <f t="shared" si="208"/>
        <v>5.9930008748906305</v>
      </c>
      <c r="DI19" s="359">
        <f t="shared" si="208"/>
        <v>8.9499335400974758</v>
      </c>
      <c r="DJ19" s="359">
        <f t="shared" si="208"/>
        <v>8.4003574620196595</v>
      </c>
      <c r="DK19" s="359">
        <f t="shared" si="208"/>
        <v>10.17907634307258</v>
      </c>
      <c r="DL19" s="181">
        <f t="shared" si="208"/>
        <v>8.3200826840515099</v>
      </c>
      <c r="DM19" s="359">
        <f t="shared" si="208"/>
        <v>5.4517920242301843</v>
      </c>
      <c r="DN19" s="359">
        <f t="shared" si="208"/>
        <v>6.7887449754354678</v>
      </c>
      <c r="DO19" s="359">
        <f t="shared" si="208"/>
        <v>3.9900249376558561</v>
      </c>
      <c r="DP19" s="359">
        <f t="shared" si="208"/>
        <v>8.3876575401999212</v>
      </c>
      <c r="DQ19" s="359">
        <f t="shared" si="208"/>
        <v>10.952623535404982</v>
      </c>
      <c r="DR19" s="359">
        <f t="shared" si="208"/>
        <v>7.2060682680151755</v>
      </c>
      <c r="DS19" s="359">
        <f t="shared" si="208"/>
        <v>9.7264437689969618</v>
      </c>
      <c r="DT19" s="359">
        <f t="shared" si="208"/>
        <v>4.1728031418753142</v>
      </c>
      <c r="DU19" s="359">
        <f t="shared" si="208"/>
        <v>3.4667767230705637</v>
      </c>
      <c r="DV19" s="359">
        <f t="shared" si="208"/>
        <v>7.2793818625457529</v>
      </c>
      <c r="DW19" s="359">
        <f t="shared" si="208"/>
        <v>9.4394064303380034</v>
      </c>
      <c r="DX19" s="274">
        <f t="shared" si="208"/>
        <v>6.1163387510692946</v>
      </c>
      <c r="DY19" s="346">
        <f t="shared" si="208"/>
        <v>6.8956658959961725</v>
      </c>
      <c r="DZ19" s="389">
        <f t="shared" si="208"/>
        <v>6.4145524174246127</v>
      </c>
      <c r="EA19" s="389">
        <f t="shared" si="208"/>
        <v>11.292346298619815</v>
      </c>
      <c r="EB19" s="389">
        <f t="shared" si="208"/>
        <v>7.1143085531574668</v>
      </c>
      <c r="EC19" s="389">
        <f t="shared" si="208"/>
        <v>2.6463512429831582</v>
      </c>
      <c r="ED19" s="389">
        <f t="shared" si="208"/>
        <v>8.5858585858585847</v>
      </c>
      <c r="EE19" s="389">
        <f t="shared" si="208"/>
        <v>5.385220125786172</v>
      </c>
      <c r="EF19" s="389">
        <f t="shared" si="208"/>
        <v>6.489908982983783</v>
      </c>
      <c r="EG19" s="389">
        <f t="shared" si="208"/>
        <v>4.7125353440158335E-2</v>
      </c>
      <c r="EH19" s="389">
        <f t="shared" si="208"/>
        <v>5.384922217790189</v>
      </c>
      <c r="EI19" s="389">
        <f t="shared" si="208"/>
        <v>-3.2979529946929542</v>
      </c>
      <c r="EJ19" s="389">
        <f t="shared" si="208"/>
        <v>-17.175141242937851</v>
      </c>
      <c r="EK19" s="389">
        <f t="shared" si="208"/>
        <v>-28.174123337363966</v>
      </c>
      <c r="EL19" s="346">
        <f t="shared" si="208"/>
        <v>0.10299368305410894</v>
      </c>
      <c r="EM19" s="389">
        <f t="shared" ref="EM19:EX19" si="209">(EM18/DZ18-1)*100</f>
        <v>-43.049932523616732</v>
      </c>
      <c r="EN19" s="389">
        <f t="shared" si="209"/>
        <v>-54.227733934611045</v>
      </c>
      <c r="EO19" s="389">
        <f t="shared" si="209"/>
        <v>-55.597014925373131</v>
      </c>
      <c r="EP19" s="389">
        <f t="shared" si="209"/>
        <v>-52.190703125000006</v>
      </c>
      <c r="EQ19" s="389">
        <f t="shared" si="209"/>
        <v>-50.401268498942919</v>
      </c>
      <c r="ER19" s="389">
        <f t="shared" si="209"/>
        <v>-44.904214845207015</v>
      </c>
      <c r="ES19" s="389">
        <f t="shared" si="209"/>
        <v>-40.182794500185807</v>
      </c>
      <c r="ET19" s="389">
        <f t="shared" si="209"/>
        <v>-33.879227508243062</v>
      </c>
      <c r="EU19" s="389">
        <f t="shared" si="209"/>
        <v>-32.805185465556399</v>
      </c>
      <c r="EV19" s="389">
        <f t="shared" si="209"/>
        <v>-27.970874166993344</v>
      </c>
      <c r="EW19" s="389">
        <f t="shared" si="209"/>
        <v>-14.523237835379721</v>
      </c>
      <c r="EX19" s="389">
        <f t="shared" si="209"/>
        <v>4.803591470257107E-2</v>
      </c>
      <c r="EY19" s="346">
        <f t="shared" ref="EY19:FX19" si="210">(EY18/EL18-1)*100</f>
        <v>-38.827385280197532</v>
      </c>
      <c r="EZ19" s="389">
        <f t="shared" si="210"/>
        <v>36.731753554502355</v>
      </c>
      <c r="FA19" s="389">
        <f t="shared" si="210"/>
        <v>65.203284072249573</v>
      </c>
      <c r="FB19" s="389">
        <f t="shared" si="210"/>
        <v>76.29647058823528</v>
      </c>
      <c r="FC19" s="389">
        <f t="shared" si="210"/>
        <v>66.533133755692802</v>
      </c>
      <c r="FD19" s="389">
        <f t="shared" si="210"/>
        <v>60.745944194849159</v>
      </c>
      <c r="FE19" s="389">
        <f t="shared" si="210"/>
        <v>50.660746128609887</v>
      </c>
      <c r="FF19" s="389">
        <f t="shared" si="210"/>
        <v>40.140562011976265</v>
      </c>
      <c r="FG19" s="389">
        <f t="shared" si="210"/>
        <v>32.744645747372743</v>
      </c>
      <c r="FH19" s="389">
        <f t="shared" si="210"/>
        <v>26.061250941397084</v>
      </c>
      <c r="FI19" s="389">
        <f t="shared" si="210"/>
        <v>17.484379277297002</v>
      </c>
      <c r="FJ19" s="389">
        <f t="shared" si="210"/>
        <v>18.744925873866912</v>
      </c>
      <c r="FK19" s="389">
        <f t="shared" si="210"/>
        <v>21.876416266933507</v>
      </c>
      <c r="FL19" s="346">
        <f t="shared" si="210"/>
        <v>39.661975798116586</v>
      </c>
      <c r="FM19" s="389">
        <f t="shared" si="210"/>
        <v>14.313666361644906</v>
      </c>
      <c r="FN19" s="389">
        <f t="shared" si="210"/>
        <v>10.543709894164333</v>
      </c>
      <c r="FO19" s="389">
        <f t="shared" si="210"/>
        <v>3.5654226455817506</v>
      </c>
      <c r="FP19" s="389">
        <f t="shared" si="210"/>
        <v>2.8275036808915965</v>
      </c>
      <c r="FQ19" s="389">
        <f t="shared" si="210"/>
        <v>-9.7646011860629596</v>
      </c>
      <c r="FR19" s="389">
        <f t="shared" si="210"/>
        <v>1.101536462276842</v>
      </c>
      <c r="FS19" s="389">
        <f t="shared" si="210"/>
        <v>1.0209165995808345</v>
      </c>
      <c r="FT19" s="389">
        <f t="shared" si="210"/>
        <v>10.599309325183338</v>
      </c>
      <c r="FU19" s="389">
        <f t="shared" si="210"/>
        <v>7.8982586287712486</v>
      </c>
      <c r="FV19" s="389">
        <f t="shared" si="210"/>
        <v>12.901138260793843</v>
      </c>
      <c r="FW19" s="389">
        <f t="shared" si="210"/>
        <v>7.6140808344198341</v>
      </c>
      <c r="FX19" s="389">
        <f t="shared" si="210"/>
        <v>3.4670099282933631</v>
      </c>
      <c r="FY19" s="346">
        <f t="shared" ref="FY19:HY19" si="211">(FY18/FL18-1)*100</f>
        <v>5.4346569880908024</v>
      </c>
      <c r="FZ19" s="389">
        <f t="shared" si="211"/>
        <v>1.8251998562763161</v>
      </c>
      <c r="GA19" s="389">
        <f t="shared" si="211"/>
        <v>17.786222752518288</v>
      </c>
      <c r="GB19" s="389">
        <f t="shared" si="211"/>
        <v>10.337557209185878</v>
      </c>
      <c r="GC19" s="389">
        <f t="shared" si="211"/>
        <v>11.069871079175142</v>
      </c>
      <c r="GD19" s="413">
        <f t="shared" si="211"/>
        <v>21.969875071115872</v>
      </c>
      <c r="GE19" s="413">
        <f t="shared" si="211"/>
        <v>5.0933553664057607</v>
      </c>
      <c r="GF19" s="413">
        <f t="shared" si="211"/>
        <v>1.9723579390621415</v>
      </c>
      <c r="GG19" s="413">
        <f t="shared" si="211"/>
        <v>-9.2682718537805293</v>
      </c>
      <c r="GH19" s="413">
        <f t="shared" si="211"/>
        <v>-5.4994641174005432</v>
      </c>
      <c r="GI19" s="413">
        <f t="shared" si="211"/>
        <v>-6.5619495550897415</v>
      </c>
      <c r="GJ19" s="413">
        <f t="shared" si="211"/>
        <v>-12.654408109532655</v>
      </c>
      <c r="GK19" s="413">
        <f t="shared" si="211"/>
        <v>-12.853797345894414</v>
      </c>
      <c r="GL19" s="346">
        <f t="shared" si="211"/>
        <v>1.3137058472177499</v>
      </c>
      <c r="GM19" s="389">
        <f t="shared" si="211"/>
        <v>-1.4833883729032604</v>
      </c>
      <c r="GN19" s="389">
        <f t="shared" si="211"/>
        <v>-10.55680642330662</v>
      </c>
      <c r="GO19" s="389">
        <f t="shared" si="211"/>
        <v>-1.3624712441106523</v>
      </c>
      <c r="GP19" s="389">
        <f t="shared" si="211"/>
        <v>4.2654462085280453</v>
      </c>
      <c r="GQ19" s="389">
        <f t="shared" si="211"/>
        <v>9.1138723259899699</v>
      </c>
      <c r="GR19" s="389">
        <f t="shared" si="211"/>
        <v>4.147767713843109</v>
      </c>
      <c r="GS19" s="389">
        <f t="shared" si="211"/>
        <v>12.272952022835071</v>
      </c>
      <c r="GT19" s="389">
        <f t="shared" si="211"/>
        <v>13.025083801631322</v>
      </c>
      <c r="GU19" s="389">
        <f t="shared" si="211"/>
        <v>13.021054273784461</v>
      </c>
      <c r="GV19" s="389">
        <f t="shared" si="211"/>
        <v>14.523407732743522</v>
      </c>
      <c r="GW19" s="389">
        <f t="shared" si="211"/>
        <v>23.161814824453785</v>
      </c>
      <c r="GX19" s="389">
        <f t="shared" si="211"/>
        <v>27.022856892030255</v>
      </c>
      <c r="GY19" s="346">
        <f t="shared" si="211"/>
        <v>8.3403369713167983</v>
      </c>
      <c r="GZ19" s="389">
        <f t="shared" si="211"/>
        <v>16.637120439289156</v>
      </c>
      <c r="HA19" s="389">
        <f t="shared" si="211"/>
        <v>10.132735904411373</v>
      </c>
      <c r="HB19" s="389">
        <f t="shared" si="211"/>
        <v>9.9711503329002795</v>
      </c>
      <c r="HC19" s="389">
        <f t="shared" si="211"/>
        <v>8.2322860063374534</v>
      </c>
      <c r="HD19" s="389">
        <f t="shared" si="211"/>
        <v>8.58292961901439</v>
      </c>
      <c r="HE19" s="389">
        <f t="shared" si="211"/>
        <v>12.034637835642847</v>
      </c>
      <c r="HF19" s="389">
        <f t="shared" si="211"/>
        <v>6.3879484444369528</v>
      </c>
      <c r="HG19" s="389">
        <f t="shared" si="211"/>
        <v>3.9382108943351701</v>
      </c>
      <c r="HH19" s="389">
        <f t="shared" si="211"/>
        <v>8.1726502215358376</v>
      </c>
      <c r="HI19" s="389">
        <f t="shared" si="211"/>
        <v>4.5800590097180072</v>
      </c>
      <c r="HJ19" s="389">
        <f t="shared" si="211"/>
        <v>-0.26928359649567302</v>
      </c>
      <c r="HK19" s="389">
        <f t="shared" si="211"/>
        <v>3.1732950264699022</v>
      </c>
      <c r="HL19" s="346">
        <f t="shared" si="211"/>
        <v>7.4443183614804509</v>
      </c>
      <c r="HM19" s="389">
        <f t="shared" si="211"/>
        <v>2.2162800460938659</v>
      </c>
      <c r="HN19" s="273">
        <f t="shared" si="211"/>
        <v>1.8037656979963401</v>
      </c>
      <c r="HO19" s="413">
        <f t="shared" si="211"/>
        <v>4.3237400195427211</v>
      </c>
      <c r="HP19" s="273">
        <f t="shared" si="211"/>
        <v>-0.12390682206980808</v>
      </c>
      <c r="HQ19" s="413">
        <f t="shared" si="211"/>
        <v>-7.1458116165956547</v>
      </c>
      <c r="HR19" s="413">
        <f t="shared" si="211"/>
        <v>0.49354963930681173</v>
      </c>
      <c r="HS19" s="413">
        <f t="shared" si="211"/>
        <v>-1.8202930338529488</v>
      </c>
      <c r="HT19" s="413">
        <f t="shared" si="211"/>
        <v>-1.8180626299973635</v>
      </c>
      <c r="HU19" s="413">
        <f t="shared" si="211"/>
        <v>-3.3055214732722549</v>
      </c>
      <c r="HV19" s="413">
        <f t="shared" si="211"/>
        <v>-4.3263140720697919</v>
      </c>
      <c r="HW19" s="413">
        <f t="shared" si="211"/>
        <v>2.2722342627967018</v>
      </c>
      <c r="HX19" s="413">
        <f t="shared" si="211"/>
        <v>-4.1263833671905221</v>
      </c>
      <c r="HY19" s="457">
        <f t="shared" si="211"/>
        <v>-0.97854787769298124</v>
      </c>
      <c r="HZ19" s="413">
        <f>(2302/2367-1)*100</f>
        <v>-2.746092099704267</v>
      </c>
      <c r="IA19" s="413">
        <f>(2640/2627-1)*100</f>
        <v>0.49486105824134707</v>
      </c>
      <c r="IB19" s="413">
        <f>(2677/2713-1)*100</f>
        <v>-1.3269443420567684</v>
      </c>
      <c r="IC19" s="413">
        <f>(2673/2624-1)*100</f>
        <v>1.867378048780477</v>
      </c>
      <c r="ID19" s="413">
        <f>(2267/2283-1)*100</f>
        <v>-0.70083223828295571</v>
      </c>
      <c r="IE19" s="413">
        <f>(2710/2773-1)*100</f>
        <v>-2.2719076812116823</v>
      </c>
      <c r="IF19" s="413">
        <f>(2692/2725-1)*100</f>
        <v>-1.2110091743119278</v>
      </c>
      <c r="IG19" s="413">
        <f>(2324/2157-1)*100</f>
        <v>7.742234585071861</v>
      </c>
      <c r="IH19" s="413">
        <f>(2794/2698-1)*100</f>
        <v>3.5581912527798298</v>
      </c>
      <c r="II19" s="413">
        <f>(2709/2609-1)*100</f>
        <v>3.8328861632809463</v>
      </c>
      <c r="IJ19" s="413">
        <f>(2810/2635-1)*100</f>
        <v>6.6413662239089177</v>
      </c>
      <c r="IK19" s="413">
        <f>(2689/2462-1)*100</f>
        <v>9.2201462225832707</v>
      </c>
      <c r="IL19" s="465">
        <f>(31287/30672-1)*100</f>
        <v>2.005086071987483</v>
      </c>
      <c r="IM19" s="413">
        <f>(2470/2302-1)*100</f>
        <v>7.2980017376194528</v>
      </c>
      <c r="IN19" s="502">
        <f>(IN18/IA18-1)*100</f>
        <v>4.7444345692033485</v>
      </c>
      <c r="IO19" s="502">
        <f t="shared" ref="IO19:IX19" si="212">(IO18/IB18-1)*100</f>
        <v>9.4031456242506639</v>
      </c>
      <c r="IP19" s="502">
        <f t="shared" si="212"/>
        <v>5.039326712906389</v>
      </c>
      <c r="IQ19" s="502">
        <f t="shared" si="212"/>
        <v>7.4854178310272523</v>
      </c>
      <c r="IR19" s="502">
        <f t="shared" si="212"/>
        <v>7.2460944418859974</v>
      </c>
      <c r="IS19" s="502">
        <f t="shared" si="212"/>
        <v>9.020170812137863</v>
      </c>
      <c r="IT19" s="502">
        <f t="shared" si="212"/>
        <v>5.0945924085139094</v>
      </c>
      <c r="IU19" s="502">
        <f t="shared" si="212"/>
        <v>3.5031584945750094</v>
      </c>
      <c r="IV19" s="502">
        <f t="shared" si="212"/>
        <v>10.859193256754086</v>
      </c>
      <c r="IW19" s="502">
        <f t="shared" si="212"/>
        <v>8.1786417025152769</v>
      </c>
      <c r="IX19" s="502">
        <f t="shared" si="212"/>
        <v>6.0880905120194173</v>
      </c>
      <c r="IY19" s="465">
        <f t="shared" ref="IY19:IZ19" si="213">(IY18/IL18-1)*100</f>
        <v>7.007261774338347</v>
      </c>
      <c r="IZ19" s="502">
        <f t="shared" si="213"/>
        <v>1.7926659102743825</v>
      </c>
      <c r="JA19" s="502">
        <f>(JA18/IN18-1)*100</f>
        <v>5.7920698255807146</v>
      </c>
      <c r="JB19" s="502">
        <f t="shared" ref="JB19:JE19" si="214">(JB18/IO18-1)*100</f>
        <v>3.123285538660503</v>
      </c>
      <c r="JC19" s="502">
        <f t="shared" si="214"/>
        <v>6.3242272458828852</v>
      </c>
      <c r="JD19" s="502">
        <f t="shared" si="214"/>
        <v>8.8118065855342209</v>
      </c>
      <c r="JE19" s="502">
        <f t="shared" si="214"/>
        <v>7.7157206009457857</v>
      </c>
      <c r="JF19" s="502">
        <f>(JF18/2934-1)*100</f>
        <v>7.5664621676891697</v>
      </c>
      <c r="JG19" s="502">
        <f>(JG18/2443-1)*100</f>
        <v>5.6487924682767199</v>
      </c>
      <c r="JH19" s="502">
        <f>(JH18/2892-1)*100</f>
        <v>2.9737206085753698</v>
      </c>
      <c r="JI19" s="502">
        <f>(JI18/3004-1)*100</f>
        <v>6.1917443408788353</v>
      </c>
      <c r="JJ19" s="502">
        <f>(JJ18/3040-1)*100</f>
        <v>3.059210526315792</v>
      </c>
      <c r="JK19" s="502">
        <f>(JK18/2853-1)*100</f>
        <v>2.6638626007711164</v>
      </c>
      <c r="JL19" s="511">
        <f>(JL18/33480-1)*100</f>
        <v>5.1194743130227094</v>
      </c>
      <c r="JM19" s="502">
        <f>(JM18/2513-1)*100</f>
        <v>-0.27855153203342198</v>
      </c>
      <c r="JN19" s="566">
        <f>(JN18/2925-1)*100</f>
        <v>3.6581196581196629</v>
      </c>
    </row>
    <row r="20" spans="1:274" ht="13.5" customHeight="1" x14ac:dyDescent="0.3">
      <c r="A20" s="542" t="s">
        <v>105</v>
      </c>
      <c r="B20" s="48" t="s">
        <v>108</v>
      </c>
      <c r="C20" s="218">
        <v>231067</v>
      </c>
      <c r="D20" s="191">
        <v>249520</v>
      </c>
      <c r="E20" s="218">
        <v>250596</v>
      </c>
      <c r="F20" s="191">
        <v>243226</v>
      </c>
      <c r="G20" s="218">
        <v>214136</v>
      </c>
      <c r="H20" s="191">
        <v>205720</v>
      </c>
      <c r="I20" s="218">
        <v>211989</v>
      </c>
      <c r="J20" s="191">
        <v>223368</v>
      </c>
      <c r="K20" s="218">
        <v>207391</v>
      </c>
      <c r="L20" s="191">
        <v>171926</v>
      </c>
      <c r="M20" s="219">
        <v>168803</v>
      </c>
      <c r="N20" s="191">
        <f>SUM(AA20:AL20)</f>
        <v>172739</v>
      </c>
      <c r="O20" s="220">
        <v>12822</v>
      </c>
      <c r="P20" s="221">
        <v>14140</v>
      </c>
      <c r="Q20" s="221">
        <v>15754</v>
      </c>
      <c r="R20" s="221">
        <v>14157</v>
      </c>
      <c r="S20" s="221">
        <v>12978</v>
      </c>
      <c r="T20" s="221">
        <v>14689</v>
      </c>
      <c r="U20" s="221">
        <v>14939</v>
      </c>
      <c r="V20" s="221">
        <v>12575</v>
      </c>
      <c r="W20" s="221">
        <v>14268</v>
      </c>
      <c r="X20" s="221">
        <v>14201</v>
      </c>
      <c r="Y20" s="221">
        <v>14732</v>
      </c>
      <c r="Z20" s="222">
        <v>13548</v>
      </c>
      <c r="AA20" s="191">
        <v>12520</v>
      </c>
      <c r="AB20" s="218">
        <v>14284</v>
      </c>
      <c r="AC20" s="191">
        <v>15149</v>
      </c>
      <c r="AD20" s="218">
        <v>13861</v>
      </c>
      <c r="AE20" s="191">
        <v>13245</v>
      </c>
      <c r="AF20" s="218">
        <v>14352</v>
      </c>
      <c r="AG20" s="191">
        <v>14720</v>
      </c>
      <c r="AH20" s="218">
        <v>15118</v>
      </c>
      <c r="AI20" s="191">
        <v>14210</v>
      </c>
      <c r="AJ20" s="218">
        <v>16754</v>
      </c>
      <c r="AK20" s="191">
        <v>14881</v>
      </c>
      <c r="AL20" s="218">
        <v>13645</v>
      </c>
      <c r="AM20" s="159">
        <f>SUM(AN20:AY20)</f>
        <v>159867</v>
      </c>
      <c r="AN20" s="192">
        <v>13420</v>
      </c>
      <c r="AO20" s="191">
        <v>14282</v>
      </c>
      <c r="AP20" s="193">
        <v>15233</v>
      </c>
      <c r="AQ20" s="194">
        <v>13477</v>
      </c>
      <c r="AR20" s="194">
        <v>12969</v>
      </c>
      <c r="AS20" s="194">
        <v>13675</v>
      </c>
      <c r="AT20" s="194">
        <v>13357</v>
      </c>
      <c r="AU20" s="194">
        <v>12526</v>
      </c>
      <c r="AV20" s="194">
        <v>12832</v>
      </c>
      <c r="AW20" s="194">
        <v>13423</v>
      </c>
      <c r="AX20" s="194">
        <v>12815</v>
      </c>
      <c r="AY20" s="195">
        <v>11858</v>
      </c>
      <c r="AZ20" s="168">
        <f>SUM(BA20:BL20)</f>
        <v>159712</v>
      </c>
      <c r="BA20" s="234">
        <v>11334</v>
      </c>
      <c r="BB20" s="170">
        <v>12122</v>
      </c>
      <c r="BC20" s="170">
        <v>12912</v>
      </c>
      <c r="BD20" s="170">
        <v>12503</v>
      </c>
      <c r="BE20" s="170">
        <v>12762</v>
      </c>
      <c r="BF20" s="170">
        <v>13094</v>
      </c>
      <c r="BG20" s="170">
        <v>14256</v>
      </c>
      <c r="BH20" s="170">
        <v>11985</v>
      </c>
      <c r="BI20" s="170">
        <v>14513</v>
      </c>
      <c r="BJ20" s="170">
        <v>15022</v>
      </c>
      <c r="BK20" s="170">
        <v>14773</v>
      </c>
      <c r="BL20" s="170">
        <v>14436</v>
      </c>
      <c r="BM20" s="171">
        <v>15323</v>
      </c>
      <c r="BN20" s="171">
        <v>16322</v>
      </c>
      <c r="BO20" s="171">
        <v>16563</v>
      </c>
      <c r="BP20" s="171">
        <v>16554</v>
      </c>
      <c r="BQ20" s="171">
        <v>16268</v>
      </c>
      <c r="BR20" s="171">
        <v>15233</v>
      </c>
      <c r="BS20" s="171">
        <v>16230</v>
      </c>
      <c r="BT20" s="171">
        <v>13410</v>
      </c>
      <c r="BU20" s="171">
        <v>16017</v>
      </c>
      <c r="BV20" s="171">
        <v>17011</v>
      </c>
      <c r="BW20" s="171">
        <v>16010</v>
      </c>
      <c r="BX20" s="171">
        <v>16278</v>
      </c>
      <c r="BY20" s="168">
        <f>SUM(BM20:BX20)</f>
        <v>191219</v>
      </c>
      <c r="BZ20" s="234">
        <v>15463</v>
      </c>
      <c r="CA20" s="170">
        <v>16702</v>
      </c>
      <c r="CB20" s="170">
        <v>17871</v>
      </c>
      <c r="CC20" s="170">
        <v>17096</v>
      </c>
      <c r="CD20" s="170">
        <v>15510</v>
      </c>
      <c r="CE20" s="223">
        <v>17813</v>
      </c>
      <c r="CF20" s="224">
        <v>17868</v>
      </c>
      <c r="CG20" s="224">
        <v>15652</v>
      </c>
      <c r="CH20" s="224">
        <v>17812</v>
      </c>
      <c r="CI20" s="224">
        <v>17624</v>
      </c>
      <c r="CJ20" s="200">
        <v>18261</v>
      </c>
      <c r="CK20" s="341">
        <v>17901</v>
      </c>
      <c r="CL20" s="337">
        <f>SUM(BZ20:CK20)</f>
        <v>205573</v>
      </c>
      <c r="CM20" s="279">
        <v>16688</v>
      </c>
      <c r="CN20" s="280">
        <v>18320</v>
      </c>
      <c r="CO20" s="280">
        <v>19745</v>
      </c>
      <c r="CP20" s="362">
        <v>18690</v>
      </c>
      <c r="CQ20" s="362">
        <v>16945</v>
      </c>
      <c r="CR20" s="362">
        <v>20020</v>
      </c>
      <c r="CS20" s="362">
        <v>19292</v>
      </c>
      <c r="CT20" s="362">
        <v>17165</v>
      </c>
      <c r="CU20" s="362">
        <v>20177</v>
      </c>
      <c r="CV20" s="362">
        <v>19786</v>
      </c>
      <c r="CW20" s="362">
        <v>18605</v>
      </c>
      <c r="CX20" s="354">
        <v>18224</v>
      </c>
      <c r="CY20" s="337">
        <f>SUM(CM20:CX20)</f>
        <v>223657</v>
      </c>
      <c r="CZ20" s="362">
        <v>18476</v>
      </c>
      <c r="DA20" s="362">
        <v>19338</v>
      </c>
      <c r="DB20" s="362">
        <v>21047</v>
      </c>
      <c r="DC20" s="362">
        <v>19927</v>
      </c>
      <c r="DD20" s="362">
        <v>17987</v>
      </c>
      <c r="DE20" s="362">
        <v>18654</v>
      </c>
      <c r="DF20" s="362">
        <v>17922</v>
      </c>
      <c r="DG20" s="362">
        <v>16153</v>
      </c>
      <c r="DH20" s="362">
        <v>17968</v>
      </c>
      <c r="DI20" s="362">
        <v>19002</v>
      </c>
      <c r="DJ20" s="362">
        <v>19339</v>
      </c>
      <c r="DK20" s="362">
        <v>18834</v>
      </c>
      <c r="DL20" s="337">
        <f>SUM(CZ20:DK20)</f>
        <v>224647</v>
      </c>
      <c r="DM20" s="362">
        <v>17568</v>
      </c>
      <c r="DN20" s="362">
        <v>19371</v>
      </c>
      <c r="DO20" s="362">
        <v>21095</v>
      </c>
      <c r="DP20" s="362">
        <v>20293</v>
      </c>
      <c r="DQ20" s="362">
        <v>19454</v>
      </c>
      <c r="DR20" s="362">
        <v>20769</v>
      </c>
      <c r="DS20" s="362">
        <v>21187</v>
      </c>
      <c r="DT20" s="362">
        <v>18816</v>
      </c>
      <c r="DU20" s="362">
        <v>20503</v>
      </c>
      <c r="DV20" s="362">
        <v>22356</v>
      </c>
      <c r="DW20" s="362">
        <v>22151</v>
      </c>
      <c r="DX20" s="280">
        <v>20558</v>
      </c>
      <c r="DY20" s="365">
        <f>SUM(DM20:DX20)</f>
        <v>244121</v>
      </c>
      <c r="DZ20" s="392">
        <v>19373</v>
      </c>
      <c r="EA20" s="392">
        <v>21405</v>
      </c>
      <c r="EB20" s="392">
        <v>21810</v>
      </c>
      <c r="EC20" s="392">
        <v>21020</v>
      </c>
      <c r="ED20" s="392">
        <v>19606</v>
      </c>
      <c r="EE20" s="392">
        <v>20959</v>
      </c>
      <c r="EF20" s="392">
        <v>21981</v>
      </c>
      <c r="EG20" s="392">
        <v>17148</v>
      </c>
      <c r="EH20" s="392">
        <v>20965</v>
      </c>
      <c r="EI20" s="392">
        <v>20941</v>
      </c>
      <c r="EJ20" s="392">
        <v>17159</v>
      </c>
      <c r="EK20" s="392">
        <v>13788</v>
      </c>
      <c r="EL20" s="365">
        <f>SUM(DZ20:EK20)</f>
        <v>236155</v>
      </c>
      <c r="EM20" s="392">
        <v>10388</v>
      </c>
      <c r="EN20" s="392">
        <v>8660</v>
      </c>
      <c r="EO20" s="392">
        <v>8854</v>
      </c>
      <c r="EP20" s="392">
        <v>8576</v>
      </c>
      <c r="EQ20" s="392">
        <v>7625</v>
      </c>
      <c r="ER20" s="392">
        <v>9817</v>
      </c>
      <c r="ES20" s="392">
        <v>10267</v>
      </c>
      <c r="ET20" s="392">
        <v>9312</v>
      </c>
      <c r="EU20" s="392">
        <v>11318</v>
      </c>
      <c r="EV20" s="392">
        <v>11961</v>
      </c>
      <c r="EW20" s="392">
        <v>12253</v>
      </c>
      <c r="EX20" s="392">
        <v>12394</v>
      </c>
      <c r="EY20" s="365">
        <f>SUM(EM20:EX20)</f>
        <v>121425</v>
      </c>
      <c r="EZ20" s="392">
        <v>11470</v>
      </c>
      <c r="FA20" s="392">
        <v>13149</v>
      </c>
      <c r="FB20" s="392">
        <v>13876</v>
      </c>
      <c r="FC20" s="392">
        <v>13548</v>
      </c>
      <c r="FD20" s="392">
        <v>12800</v>
      </c>
      <c r="FE20" s="392">
        <v>15795</v>
      </c>
      <c r="FF20" s="392">
        <v>15445</v>
      </c>
      <c r="FG20" s="392">
        <v>13099</v>
      </c>
      <c r="FH20" s="392">
        <v>16220</v>
      </c>
      <c r="FI20" s="392">
        <v>15090</v>
      </c>
      <c r="FJ20" s="392">
        <v>16026</v>
      </c>
      <c r="FK20" s="392">
        <v>14982</v>
      </c>
      <c r="FL20" s="365">
        <f>SUM(EZ20:FK20)</f>
        <v>171500</v>
      </c>
      <c r="FM20" s="392">
        <v>14643</v>
      </c>
      <c r="FN20" s="392">
        <v>16765</v>
      </c>
      <c r="FO20" s="392">
        <v>16544</v>
      </c>
      <c r="FP20" s="392">
        <v>14541</v>
      </c>
      <c r="FQ20" s="392">
        <v>13620</v>
      </c>
      <c r="FR20" s="392">
        <v>17019</v>
      </c>
      <c r="FS20" s="392">
        <v>17043</v>
      </c>
      <c r="FT20" s="392">
        <v>15292</v>
      </c>
      <c r="FU20" s="392">
        <v>17545</v>
      </c>
      <c r="FV20" s="392">
        <v>17677</v>
      </c>
      <c r="FW20" s="392">
        <v>18083</v>
      </c>
      <c r="FX20" s="392">
        <v>16613</v>
      </c>
      <c r="FY20" s="365">
        <f>SUM(FM20:FX20)</f>
        <v>195385</v>
      </c>
      <c r="FZ20" s="392">
        <v>15608</v>
      </c>
      <c r="GA20" s="392">
        <v>17327</v>
      </c>
      <c r="GB20" s="392">
        <v>18112</v>
      </c>
      <c r="GC20" s="392">
        <v>17200</v>
      </c>
      <c r="GD20" s="416">
        <v>16390</v>
      </c>
      <c r="GE20" s="416">
        <v>17598</v>
      </c>
      <c r="GF20" s="416">
        <v>17893</v>
      </c>
      <c r="GG20" s="416">
        <v>14835</v>
      </c>
      <c r="GH20" s="416">
        <v>16322</v>
      </c>
      <c r="GI20" s="416">
        <v>16981</v>
      </c>
      <c r="GJ20" s="416">
        <v>15550</v>
      </c>
      <c r="GK20" s="416">
        <v>14041</v>
      </c>
      <c r="GL20" s="365">
        <f>SUM(FZ20:GK20)</f>
        <v>197857</v>
      </c>
      <c r="GM20" s="392">
        <v>15635.1</v>
      </c>
      <c r="GN20" s="392">
        <v>17337.3</v>
      </c>
      <c r="GO20" s="392">
        <v>17997.3</v>
      </c>
      <c r="GP20" s="392">
        <v>17835.7</v>
      </c>
      <c r="GQ20" s="392">
        <v>17798.400000000001</v>
      </c>
      <c r="GR20" s="392">
        <v>17870.099999999999</v>
      </c>
      <c r="GS20" s="392">
        <v>19436.525000000001</v>
      </c>
      <c r="GT20" s="392">
        <v>15887.5</v>
      </c>
      <c r="GU20" s="392">
        <v>18795.400000000001</v>
      </c>
      <c r="GV20" s="392">
        <v>19091.599999999999</v>
      </c>
      <c r="GW20" s="392">
        <v>17899.2</v>
      </c>
      <c r="GX20" s="392">
        <v>17248</v>
      </c>
      <c r="GY20" s="365">
        <f>SUM(GM20:GX20)</f>
        <v>212832.125</v>
      </c>
      <c r="GZ20" s="392">
        <v>17472</v>
      </c>
      <c r="HA20" s="392">
        <v>17976.2</v>
      </c>
      <c r="HB20" s="392">
        <v>18228.5</v>
      </c>
      <c r="HC20" s="392">
        <v>17856</v>
      </c>
      <c r="HD20" s="392">
        <v>17337.5</v>
      </c>
      <c r="HE20" s="392">
        <v>18831.8</v>
      </c>
      <c r="HF20" s="392">
        <v>20021.3</v>
      </c>
      <c r="HG20" s="392">
        <v>16000.1</v>
      </c>
      <c r="HH20" s="392">
        <v>19042.400000000001</v>
      </c>
      <c r="HI20" s="392">
        <v>19908.599999999999</v>
      </c>
      <c r="HJ20" s="392">
        <v>18299.8</v>
      </c>
      <c r="HK20" s="392">
        <v>18670.5</v>
      </c>
      <c r="HL20" s="365">
        <f>SUM(GZ20:HK20)</f>
        <v>219644.69999999998</v>
      </c>
      <c r="HM20" s="392">
        <v>18581</v>
      </c>
      <c r="HN20" s="279">
        <v>18903</v>
      </c>
      <c r="HO20" s="306">
        <v>20231.400000000001</v>
      </c>
      <c r="HP20" s="425">
        <v>19014.900000000001</v>
      </c>
      <c r="HQ20" s="432">
        <v>16240.6</v>
      </c>
      <c r="HR20" s="432">
        <v>19314.5</v>
      </c>
      <c r="HS20" s="432">
        <v>19482.3</v>
      </c>
      <c r="HT20" s="432">
        <v>16004.2</v>
      </c>
      <c r="HU20" s="432">
        <v>18699.3</v>
      </c>
      <c r="HV20" s="432">
        <v>18572.8</v>
      </c>
      <c r="HW20" s="432">
        <v>18378.099999999999</v>
      </c>
      <c r="HX20" s="432">
        <v>17427.5</v>
      </c>
      <c r="HY20" s="456">
        <f>SUM(HM20:HX20)</f>
        <v>220849.6</v>
      </c>
      <c r="HZ20" s="432">
        <v>17007.3</v>
      </c>
      <c r="IA20" s="432">
        <v>19287.8</v>
      </c>
      <c r="IB20" s="432">
        <v>20363.2</v>
      </c>
      <c r="IC20" s="432">
        <v>18707.400000000001</v>
      </c>
      <c r="ID20" s="432">
        <v>16980.599999999999</v>
      </c>
      <c r="IE20" s="432">
        <v>19606.7</v>
      </c>
      <c r="IF20" s="432">
        <v>18947.900000000001</v>
      </c>
      <c r="IG20" s="432">
        <v>17110.400000000001</v>
      </c>
      <c r="IH20" s="432">
        <v>20212.38</v>
      </c>
      <c r="II20" s="432">
        <v>19641.72</v>
      </c>
      <c r="IJ20" s="432">
        <v>20234.599999999999</v>
      </c>
      <c r="IK20" s="432">
        <f>'[1]３地区計'!N7</f>
        <v>18657.599999999999</v>
      </c>
      <c r="IL20" s="466">
        <f>SUM(HZ20:IK20)</f>
        <v>226757.60000000003</v>
      </c>
      <c r="IM20" s="432">
        <v>18389</v>
      </c>
      <c r="IN20" s="503">
        <v>20111</v>
      </c>
      <c r="IO20" s="503">
        <v>22903</v>
      </c>
      <c r="IP20" s="503">
        <v>20501</v>
      </c>
      <c r="IQ20" s="503">
        <v>18914</v>
      </c>
      <c r="IR20" s="503">
        <v>21898</v>
      </c>
      <c r="IS20" s="503">
        <v>20022</v>
      </c>
      <c r="IT20" s="503">
        <v>18305</v>
      </c>
      <c r="IU20" s="503">
        <v>19986</v>
      </c>
      <c r="IV20" s="503">
        <v>19805</v>
      </c>
      <c r="IW20" s="517">
        <v>21940</v>
      </c>
      <c r="IX20" s="503">
        <v>20517</v>
      </c>
      <c r="IY20" s="466">
        <f>SUM(IM20:IX20)</f>
        <v>243291</v>
      </c>
      <c r="IZ20" s="503">
        <v>18445</v>
      </c>
      <c r="JA20" s="503">
        <v>20914</v>
      </c>
      <c r="JB20" s="503">
        <v>22744</v>
      </c>
      <c r="JC20" s="503">
        <v>20528</v>
      </c>
      <c r="JD20" s="503">
        <v>20148</v>
      </c>
      <c r="JE20" s="503">
        <v>22431</v>
      </c>
      <c r="JF20" s="503">
        <v>22542</v>
      </c>
      <c r="JG20" s="517">
        <v>22075</v>
      </c>
      <c r="JH20" s="503">
        <v>21012</v>
      </c>
      <c r="JI20" s="503">
        <v>23413</v>
      </c>
      <c r="JJ20" s="503">
        <v>22457</v>
      </c>
      <c r="JK20" s="503">
        <v>19761</v>
      </c>
      <c r="JL20" s="535">
        <f>SUM(IZ20:JK20)</f>
        <v>256470</v>
      </c>
      <c r="JM20" s="503">
        <v>18639</v>
      </c>
      <c r="JN20" s="503">
        <v>20106</v>
      </c>
    </row>
    <row r="21" spans="1:274" ht="13.5" customHeight="1" thickBot="1" x14ac:dyDescent="0.35">
      <c r="A21" s="550"/>
      <c r="B21" s="43" t="s">
        <v>102</v>
      </c>
      <c r="C21" s="173"/>
      <c r="D21" s="174">
        <f t="shared" ref="D21:M21" si="215">(D20/C20-1)*100</f>
        <v>7.985995403930457</v>
      </c>
      <c r="E21" s="174">
        <f t="shared" si="215"/>
        <v>0.43122795767873701</v>
      </c>
      <c r="F21" s="174">
        <f t="shared" si="215"/>
        <v>-2.9409886829797727</v>
      </c>
      <c r="G21" s="174">
        <f t="shared" si="215"/>
        <v>-11.960070058299689</v>
      </c>
      <c r="H21" s="174">
        <f t="shared" si="215"/>
        <v>-3.9302125751858652</v>
      </c>
      <c r="I21" s="174">
        <f t="shared" si="215"/>
        <v>3.0473459070581299</v>
      </c>
      <c r="J21" s="174">
        <f t="shared" si="215"/>
        <v>5.3677313445508856</v>
      </c>
      <c r="K21" s="174">
        <f t="shared" si="215"/>
        <v>-7.1527703162494127</v>
      </c>
      <c r="L21" s="174">
        <f t="shared" si="215"/>
        <v>-17.100549204160252</v>
      </c>
      <c r="M21" s="174">
        <f t="shared" si="215"/>
        <v>-1.8164791829042737</v>
      </c>
      <c r="N21" s="174">
        <f>(N20/M20-1)*100</f>
        <v>2.3317121141211983</v>
      </c>
      <c r="O21" s="175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7"/>
      <c r="AA21" s="174">
        <f t="shared" ref="AA21:AL21" si="216">(AA20/O20-1)*100</f>
        <v>-2.3553267820932811</v>
      </c>
      <c r="AB21" s="174">
        <f t="shared" si="216"/>
        <v>1.0183875530410225</v>
      </c>
      <c r="AC21" s="174">
        <f t="shared" si="216"/>
        <v>-3.8402945283737444</v>
      </c>
      <c r="AD21" s="174">
        <f t="shared" si="216"/>
        <v>-2.0908384544748193</v>
      </c>
      <c r="AE21" s="174">
        <f t="shared" si="216"/>
        <v>2.0573277854831318</v>
      </c>
      <c r="AF21" s="174">
        <f t="shared" si="216"/>
        <v>-2.2942337803798729</v>
      </c>
      <c r="AG21" s="174">
        <f t="shared" si="216"/>
        <v>-1.4659615770801215</v>
      </c>
      <c r="AH21" s="174">
        <f t="shared" si="216"/>
        <v>20.222664015904577</v>
      </c>
      <c r="AI21" s="174">
        <f t="shared" si="216"/>
        <v>-0.40650406504064707</v>
      </c>
      <c r="AJ21" s="174">
        <f t="shared" si="216"/>
        <v>17.977607210759807</v>
      </c>
      <c r="AK21" s="174">
        <f t="shared" si="216"/>
        <v>1.0114037469454162</v>
      </c>
      <c r="AL21" s="178">
        <f t="shared" si="216"/>
        <v>0.71597283731916761</v>
      </c>
      <c r="AM21" s="174">
        <f>(AM20/N20-1)*100</f>
        <v>-7.4517045947932958</v>
      </c>
      <c r="AN21" s="179">
        <f t="shared" ref="AN21:AY21" si="217">(AN20/AA20-1)*100</f>
        <v>7.1884984025559095</v>
      </c>
      <c r="AO21" s="174">
        <f t="shared" si="217"/>
        <v>-1.4001680201625177E-2</v>
      </c>
      <c r="AP21" s="178">
        <f t="shared" si="217"/>
        <v>0.55449204567958876</v>
      </c>
      <c r="AQ21" s="174">
        <f t="shared" si="217"/>
        <v>-2.7703628886804665</v>
      </c>
      <c r="AR21" s="174">
        <f t="shared" si="217"/>
        <v>-2.0838052095130233</v>
      </c>
      <c r="AS21" s="180">
        <f t="shared" si="217"/>
        <v>-4.7171125975473789</v>
      </c>
      <c r="AT21" s="174">
        <f t="shared" si="217"/>
        <v>-9.2595108695652133</v>
      </c>
      <c r="AU21" s="180">
        <f t="shared" si="217"/>
        <v>-17.145125016536578</v>
      </c>
      <c r="AV21" s="174">
        <f t="shared" si="217"/>
        <v>-9.6973961998592539</v>
      </c>
      <c r="AW21" s="180">
        <f t="shared" si="217"/>
        <v>-19.881819267040701</v>
      </c>
      <c r="AX21" s="174">
        <f t="shared" si="217"/>
        <v>-13.883475572878169</v>
      </c>
      <c r="AY21" s="181">
        <f t="shared" si="217"/>
        <v>-13.096372297544889</v>
      </c>
      <c r="AZ21" s="182">
        <f t="shared" ref="AZ21:BL21" si="218">(AZ20/AM20-1)*100</f>
        <v>-9.6955594337788664E-2</v>
      </c>
      <c r="BA21" s="225">
        <f t="shared" si="218"/>
        <v>-15.543964232488827</v>
      </c>
      <c r="BB21" s="184">
        <f t="shared" si="218"/>
        <v>-15.123932222377823</v>
      </c>
      <c r="BC21" s="184">
        <f t="shared" si="218"/>
        <v>-15.236657257270403</v>
      </c>
      <c r="BD21" s="184">
        <f t="shared" si="218"/>
        <v>-7.2271276990428124</v>
      </c>
      <c r="BE21" s="184">
        <f t="shared" si="218"/>
        <v>-1.5961138098542715</v>
      </c>
      <c r="BF21" s="184">
        <f t="shared" si="218"/>
        <v>-4.2486288848263225</v>
      </c>
      <c r="BG21" s="184">
        <f t="shared" si="218"/>
        <v>6.7305532679493796</v>
      </c>
      <c r="BH21" s="184">
        <f t="shared" si="218"/>
        <v>-4.319016445792756</v>
      </c>
      <c r="BI21" s="184">
        <f t="shared" si="218"/>
        <v>13.100062344139651</v>
      </c>
      <c r="BJ21" s="184">
        <f t="shared" si="218"/>
        <v>11.912389182746042</v>
      </c>
      <c r="BK21" s="184">
        <f t="shared" si="218"/>
        <v>15.278969957081534</v>
      </c>
      <c r="BL21" s="184">
        <f t="shared" si="218"/>
        <v>21.740597065272382</v>
      </c>
      <c r="BM21" s="185">
        <f t="shared" ref="BM21:BX21" si="219">(BM20/BA20-1)*100</f>
        <v>35.194988530086469</v>
      </c>
      <c r="BN21" s="185">
        <f t="shared" si="219"/>
        <v>34.64774789638674</v>
      </c>
      <c r="BO21" s="185">
        <f t="shared" si="219"/>
        <v>28.276022304832704</v>
      </c>
      <c r="BP21" s="185">
        <f t="shared" si="219"/>
        <v>32.400223946252908</v>
      </c>
      <c r="BQ21" s="185">
        <f t="shared" si="219"/>
        <v>27.472183043410126</v>
      </c>
      <c r="BR21" s="185">
        <f t="shared" si="219"/>
        <v>16.335726286848939</v>
      </c>
      <c r="BS21" s="185">
        <f t="shared" si="219"/>
        <v>13.846801346801341</v>
      </c>
      <c r="BT21" s="185">
        <f t="shared" si="219"/>
        <v>11.889862327909896</v>
      </c>
      <c r="BU21" s="185">
        <f t="shared" si="219"/>
        <v>10.363122717563567</v>
      </c>
      <c r="BV21" s="185">
        <f t="shared" si="219"/>
        <v>13.240580481959796</v>
      </c>
      <c r="BW21" s="185">
        <f t="shared" si="219"/>
        <v>8.3733838759899815</v>
      </c>
      <c r="BX21" s="185">
        <f t="shared" si="219"/>
        <v>12.759767248545305</v>
      </c>
      <c r="BY21" s="182">
        <f>(BY20/AZ20-1)*100</f>
        <v>19.727384291725116</v>
      </c>
      <c r="BZ21" s="183">
        <f t="shared" ref="BZ21:CK21" si="220">(BZ20/BM20-1)*100</f>
        <v>0.91365920511650156</v>
      </c>
      <c r="CA21" s="184">
        <f t="shared" si="220"/>
        <v>2.3281460605317994</v>
      </c>
      <c r="CB21" s="184">
        <f t="shared" si="220"/>
        <v>7.8971200869407676</v>
      </c>
      <c r="CC21" s="184">
        <f t="shared" si="220"/>
        <v>3.2741331400265805</v>
      </c>
      <c r="CD21" s="184">
        <f t="shared" si="220"/>
        <v>-4.6594541431030256</v>
      </c>
      <c r="CE21" s="186">
        <f t="shared" si="220"/>
        <v>16.936913280378118</v>
      </c>
      <c r="CF21" s="186">
        <f t="shared" si="220"/>
        <v>10.092421441774491</v>
      </c>
      <c r="CG21" s="186">
        <f t="shared" si="220"/>
        <v>16.718866517524233</v>
      </c>
      <c r="CH21" s="186">
        <f t="shared" si="220"/>
        <v>11.206842729599797</v>
      </c>
      <c r="CI21" s="186">
        <f t="shared" si="220"/>
        <v>3.6035506437011255</v>
      </c>
      <c r="CJ21" s="186">
        <f t="shared" si="220"/>
        <v>14.059962523422854</v>
      </c>
      <c r="CK21" s="340">
        <f t="shared" si="220"/>
        <v>9.9705123479542976</v>
      </c>
      <c r="CL21" s="346">
        <f t="shared" ref="CL21:EL21" si="221">(CL20/BY20-1)*100</f>
        <v>7.5065762293496041</v>
      </c>
      <c r="CM21" s="269">
        <f t="shared" si="221"/>
        <v>7.9221367134449938</v>
      </c>
      <c r="CN21" s="270">
        <f t="shared" si="221"/>
        <v>9.6874625793318181</v>
      </c>
      <c r="CO21" s="270">
        <f t="shared" si="221"/>
        <v>10.486262660175694</v>
      </c>
      <c r="CP21" s="357">
        <f t="shared" si="221"/>
        <v>9.3238184370612931</v>
      </c>
      <c r="CQ21" s="357">
        <f t="shared" si="221"/>
        <v>9.2520954223081819</v>
      </c>
      <c r="CR21" s="357">
        <f t="shared" si="221"/>
        <v>12.389827653960594</v>
      </c>
      <c r="CS21" s="357">
        <f t="shared" si="221"/>
        <v>7.9695545108573906</v>
      </c>
      <c r="CT21" s="357">
        <f t="shared" si="221"/>
        <v>9.6664962944032808</v>
      </c>
      <c r="CU21" s="357">
        <f t="shared" si="221"/>
        <v>13.277565686054338</v>
      </c>
      <c r="CV21" s="357">
        <f t="shared" si="221"/>
        <v>12.267362687244665</v>
      </c>
      <c r="CW21" s="357">
        <f t="shared" si="221"/>
        <v>1.8837960681233223</v>
      </c>
      <c r="CX21" s="349">
        <f t="shared" si="221"/>
        <v>1.8043684710351338</v>
      </c>
      <c r="CY21" s="346">
        <f t="shared" si="221"/>
        <v>8.7968750760070602</v>
      </c>
      <c r="CZ21" s="357">
        <f t="shared" si="221"/>
        <v>10.714285714285721</v>
      </c>
      <c r="DA21" s="357">
        <f t="shared" si="221"/>
        <v>5.5567685589519744</v>
      </c>
      <c r="DB21" s="357">
        <f t="shared" si="221"/>
        <v>6.5940744492276604</v>
      </c>
      <c r="DC21" s="357">
        <f t="shared" si="221"/>
        <v>6.6185125735687578</v>
      </c>
      <c r="DD21" s="357">
        <f t="shared" si="221"/>
        <v>6.1493065801121238</v>
      </c>
      <c r="DE21" s="357">
        <f t="shared" si="221"/>
        <v>-6.8231768231768246</v>
      </c>
      <c r="DF21" s="357">
        <f t="shared" si="221"/>
        <v>-7.1013891768608728</v>
      </c>
      <c r="DG21" s="357">
        <f t="shared" si="221"/>
        <v>-5.8957180308767843</v>
      </c>
      <c r="DH21" s="357">
        <f t="shared" si="221"/>
        <v>-10.948109233285418</v>
      </c>
      <c r="DI21" s="357">
        <f t="shared" si="221"/>
        <v>-3.9623976549075124</v>
      </c>
      <c r="DJ21" s="357">
        <f t="shared" si="221"/>
        <v>3.9451760279494819</v>
      </c>
      <c r="DK21" s="357">
        <f t="shared" si="221"/>
        <v>3.3472344161545209</v>
      </c>
      <c r="DL21" s="346">
        <f t="shared" si="221"/>
        <v>0.44264208140143424</v>
      </c>
      <c r="DM21" s="357">
        <f t="shared" si="221"/>
        <v>-4.9144836544706694</v>
      </c>
      <c r="DN21" s="357">
        <f t="shared" si="221"/>
        <v>0.17064846416381396</v>
      </c>
      <c r="DO21" s="357">
        <f t="shared" si="221"/>
        <v>0.22806100631918014</v>
      </c>
      <c r="DP21" s="357">
        <f t="shared" si="221"/>
        <v>1.8367039694886289</v>
      </c>
      <c r="DQ21" s="357">
        <f t="shared" si="221"/>
        <v>8.155890365263808</v>
      </c>
      <c r="DR21" s="357">
        <f t="shared" si="221"/>
        <v>11.338050820199431</v>
      </c>
      <c r="DS21" s="357">
        <f t="shared" si="221"/>
        <v>18.217832831157232</v>
      </c>
      <c r="DT21" s="357">
        <f t="shared" si="221"/>
        <v>16.486101652943731</v>
      </c>
      <c r="DU21" s="357">
        <f t="shared" si="221"/>
        <v>14.108414959928762</v>
      </c>
      <c r="DV21" s="357">
        <f t="shared" si="221"/>
        <v>17.650773602778646</v>
      </c>
      <c r="DW21" s="357">
        <f t="shared" si="221"/>
        <v>14.540565696261432</v>
      </c>
      <c r="DX21" s="270">
        <f t="shared" si="221"/>
        <v>9.1536582775830979</v>
      </c>
      <c r="DY21" s="346">
        <f t="shared" si="221"/>
        <v>8.6687113560385942</v>
      </c>
      <c r="DZ21" s="387">
        <f t="shared" si="221"/>
        <v>10.274362477231325</v>
      </c>
      <c r="EA21" s="387">
        <f t="shared" si="221"/>
        <v>10.50023230602446</v>
      </c>
      <c r="EB21" s="387">
        <f t="shared" si="221"/>
        <v>3.3894287745911411</v>
      </c>
      <c r="EC21" s="387">
        <f t="shared" si="221"/>
        <v>3.5825161385699467</v>
      </c>
      <c r="ED21" s="387">
        <f t="shared" si="221"/>
        <v>0.78133031767246841</v>
      </c>
      <c r="EE21" s="387">
        <f t="shared" si="221"/>
        <v>0.91482497953681019</v>
      </c>
      <c r="EF21" s="387">
        <f t="shared" si="221"/>
        <v>3.7475810638599061</v>
      </c>
      <c r="EG21" s="387">
        <f t="shared" si="221"/>
        <v>-8.8647959183673528</v>
      </c>
      <c r="EH21" s="387">
        <f t="shared" si="221"/>
        <v>2.2533287811539848</v>
      </c>
      <c r="EI21" s="387">
        <f t="shared" si="221"/>
        <v>-6.3293970298801234</v>
      </c>
      <c r="EJ21" s="387">
        <f t="shared" si="221"/>
        <v>-22.536228612703713</v>
      </c>
      <c r="EK21" s="387">
        <f t="shared" si="221"/>
        <v>-32.931218990174138</v>
      </c>
      <c r="EL21" s="346">
        <f t="shared" si="221"/>
        <v>-3.2631359039165031</v>
      </c>
      <c r="EM21" s="387">
        <f t="shared" ref="EM21:EX21" si="222">(EM20/DZ20-1)*100</f>
        <v>-46.378981056109012</v>
      </c>
      <c r="EN21" s="387">
        <f t="shared" si="222"/>
        <v>-59.542163046017293</v>
      </c>
      <c r="EO21" s="387">
        <f t="shared" si="222"/>
        <v>-59.403943145346169</v>
      </c>
      <c r="EP21" s="387">
        <f t="shared" si="222"/>
        <v>-59.200761179828731</v>
      </c>
      <c r="EQ21" s="387">
        <f t="shared" si="222"/>
        <v>-61.108844231357736</v>
      </c>
      <c r="ER21" s="387">
        <f t="shared" si="222"/>
        <v>-53.160933250632183</v>
      </c>
      <c r="ES21" s="387">
        <f t="shared" si="222"/>
        <v>-53.291479004594876</v>
      </c>
      <c r="ET21" s="387">
        <f t="shared" si="222"/>
        <v>-45.696291112666202</v>
      </c>
      <c r="EU21" s="387">
        <f t="shared" si="222"/>
        <v>-46.014786549010253</v>
      </c>
      <c r="EV21" s="387">
        <f t="shared" si="222"/>
        <v>-42.882383840313267</v>
      </c>
      <c r="EW21" s="387">
        <f t="shared" si="222"/>
        <v>-28.591409755813281</v>
      </c>
      <c r="EX21" s="387">
        <f t="shared" si="222"/>
        <v>-10.110240789091963</v>
      </c>
      <c r="EY21" s="346">
        <f t="shared" ref="EY21:FX21" si="223">(EY20/EL20-1)*100</f>
        <v>-48.582498782579243</v>
      </c>
      <c r="EZ21" s="387">
        <f t="shared" si="223"/>
        <v>10.415864458991141</v>
      </c>
      <c r="FA21" s="387">
        <f t="shared" si="223"/>
        <v>51.836027713625874</v>
      </c>
      <c r="FB21" s="387">
        <f t="shared" si="223"/>
        <v>56.720126496498757</v>
      </c>
      <c r="FC21" s="387">
        <f t="shared" si="223"/>
        <v>57.975746268656714</v>
      </c>
      <c r="FD21" s="387">
        <f t="shared" si="223"/>
        <v>67.868852459016395</v>
      </c>
      <c r="FE21" s="387">
        <f t="shared" si="223"/>
        <v>60.894366914536</v>
      </c>
      <c r="FF21" s="387">
        <f t="shared" si="223"/>
        <v>50.433427486120586</v>
      </c>
      <c r="FG21" s="387">
        <f t="shared" si="223"/>
        <v>40.667955326460479</v>
      </c>
      <c r="FH21" s="387">
        <f t="shared" si="223"/>
        <v>43.311539141191012</v>
      </c>
      <c r="FI21" s="387">
        <f t="shared" si="223"/>
        <v>26.160020065211942</v>
      </c>
      <c r="FJ21" s="387">
        <f t="shared" si="223"/>
        <v>30.792458989635186</v>
      </c>
      <c r="FK21" s="387">
        <f t="shared" si="223"/>
        <v>20.881071486202995</v>
      </c>
      <c r="FL21" s="346">
        <f t="shared" si="223"/>
        <v>41.239448219065267</v>
      </c>
      <c r="FM21" s="387">
        <f t="shared" si="223"/>
        <v>27.663469921534436</v>
      </c>
      <c r="FN21" s="387">
        <f t="shared" si="223"/>
        <v>27.500190128526892</v>
      </c>
      <c r="FO21" s="387">
        <f t="shared" si="223"/>
        <v>19.227443067166327</v>
      </c>
      <c r="FP21" s="387">
        <f t="shared" si="223"/>
        <v>7.3294951284322396</v>
      </c>
      <c r="FQ21" s="387">
        <f t="shared" si="223"/>
        <v>6.4062499999999911</v>
      </c>
      <c r="FR21" s="387">
        <f t="shared" si="223"/>
        <v>7.7492877492877588</v>
      </c>
      <c r="FS21" s="387">
        <f t="shared" si="223"/>
        <v>10.346390417610873</v>
      </c>
      <c r="FT21" s="387">
        <f t="shared" si="223"/>
        <v>16.741736010382468</v>
      </c>
      <c r="FU21" s="387">
        <f t="shared" si="223"/>
        <v>8.1689272503082666</v>
      </c>
      <c r="FV21" s="387">
        <f t="shared" si="223"/>
        <v>17.143803843605031</v>
      </c>
      <c r="FW21" s="387">
        <f t="shared" si="223"/>
        <v>12.835392487208285</v>
      </c>
      <c r="FX21" s="387">
        <f t="shared" si="223"/>
        <v>10.88639700974503</v>
      </c>
      <c r="FY21" s="346">
        <f t="shared" ref="FY21:GE21" si="224">(FY20/FL20-1)*100</f>
        <v>13.927113702623917</v>
      </c>
      <c r="FZ21" s="387">
        <f t="shared" si="224"/>
        <v>6.5901796080038322</v>
      </c>
      <c r="GA21" s="387">
        <f t="shared" si="224"/>
        <v>3.3522218908440093</v>
      </c>
      <c r="GB21" s="387">
        <f t="shared" si="224"/>
        <v>9.4777562862669242</v>
      </c>
      <c r="GC21" s="387">
        <f t="shared" si="224"/>
        <v>18.286225156454172</v>
      </c>
      <c r="GD21" s="411">
        <f t="shared" si="224"/>
        <v>20.337738619676937</v>
      </c>
      <c r="GE21" s="411">
        <f t="shared" si="224"/>
        <v>3.4020800282037689</v>
      </c>
      <c r="GF21" s="411">
        <f t="shared" ref="GF21:HY21" si="225">(GF20/FS20-1)*100</f>
        <v>4.9873848500850748</v>
      </c>
      <c r="GG21" s="411">
        <f t="shared" si="225"/>
        <v>-2.9884907140988792</v>
      </c>
      <c r="GH21" s="411">
        <f t="shared" si="225"/>
        <v>-6.9706469079509841</v>
      </c>
      <c r="GI21" s="411">
        <f t="shared" si="225"/>
        <v>-3.9373196809413313</v>
      </c>
      <c r="GJ21" s="411">
        <f t="shared" si="225"/>
        <v>-14.00763147707792</v>
      </c>
      <c r="GK21" s="411">
        <f t="shared" si="225"/>
        <v>-15.481851562029735</v>
      </c>
      <c r="GL21" s="346">
        <f t="shared" si="225"/>
        <v>1.2651943598536164</v>
      </c>
      <c r="GM21" s="387">
        <f t="shared" si="225"/>
        <v>0.17362890825218802</v>
      </c>
      <c r="GN21" s="387">
        <f t="shared" si="225"/>
        <v>5.9444797137420124E-2</v>
      </c>
      <c r="GO21" s="387">
        <f t="shared" si="225"/>
        <v>-0.63328180212014473</v>
      </c>
      <c r="GP21" s="387">
        <f t="shared" si="225"/>
        <v>3.6959302325581422</v>
      </c>
      <c r="GQ21" s="387">
        <f t="shared" si="225"/>
        <v>8.5930445393532793</v>
      </c>
      <c r="GR21" s="387">
        <f t="shared" si="225"/>
        <v>1.5461984316399446</v>
      </c>
      <c r="GS21" s="387">
        <f t="shared" si="225"/>
        <v>8.6264181523500802</v>
      </c>
      <c r="GT21" s="387">
        <f t="shared" si="225"/>
        <v>7.0947084597236199</v>
      </c>
      <c r="GU21" s="387">
        <f t="shared" si="225"/>
        <v>15.153780173998289</v>
      </c>
      <c r="GV21" s="387">
        <f t="shared" si="225"/>
        <v>12.429185560332122</v>
      </c>
      <c r="GW21" s="387">
        <f t="shared" si="225"/>
        <v>15.107395498392284</v>
      </c>
      <c r="GX21" s="387">
        <f t="shared" si="225"/>
        <v>22.840253543194923</v>
      </c>
      <c r="GY21" s="346">
        <f t="shared" si="225"/>
        <v>7.5686606993940142</v>
      </c>
      <c r="GZ21" s="387">
        <f t="shared" si="225"/>
        <v>11.748565727113981</v>
      </c>
      <c r="HA21" s="387">
        <f t="shared" si="225"/>
        <v>3.6851182133319504</v>
      </c>
      <c r="HB21" s="387">
        <f t="shared" si="225"/>
        <v>1.2846371400154544</v>
      </c>
      <c r="HC21" s="387">
        <f t="shared" si="225"/>
        <v>0.1138166710586086</v>
      </c>
      <c r="HD21" s="387">
        <f t="shared" si="225"/>
        <v>-2.5895586120100789</v>
      </c>
      <c r="HE21" s="387">
        <f t="shared" si="225"/>
        <v>5.3816151000833923</v>
      </c>
      <c r="HF21" s="387">
        <f t="shared" si="225"/>
        <v>3.0086396616679112</v>
      </c>
      <c r="HG21" s="387">
        <f t="shared" si="225"/>
        <v>0.70873328088119081</v>
      </c>
      <c r="HH21" s="387">
        <f t="shared" si="225"/>
        <v>1.3141513349010925</v>
      </c>
      <c r="HI21" s="387">
        <f t="shared" si="225"/>
        <v>4.2793689371241728</v>
      </c>
      <c r="HJ21" s="387">
        <f t="shared" si="225"/>
        <v>2.2380888531331022</v>
      </c>
      <c r="HK21" s="387">
        <f t="shared" si="225"/>
        <v>8.2473330241187313</v>
      </c>
      <c r="HL21" s="346">
        <f t="shared" si="225"/>
        <v>3.2009148055069048</v>
      </c>
      <c r="HM21" s="387">
        <f t="shared" si="225"/>
        <v>6.34729853479854</v>
      </c>
      <c r="HN21" s="269">
        <f t="shared" si="225"/>
        <v>5.1557058777717213</v>
      </c>
      <c r="HO21" s="411">
        <f t="shared" si="225"/>
        <v>10.987738980168427</v>
      </c>
      <c r="HP21" s="269">
        <f t="shared" si="225"/>
        <v>6.4902553763440896</v>
      </c>
      <c r="HQ21" s="411">
        <f t="shared" si="225"/>
        <v>-6.3267483777938001</v>
      </c>
      <c r="HR21" s="411">
        <f t="shared" si="225"/>
        <v>2.5632175362950038</v>
      </c>
      <c r="HS21" s="411">
        <f t="shared" si="225"/>
        <v>-2.6921328784844101</v>
      </c>
      <c r="HT21" s="411">
        <f t="shared" si="225"/>
        <v>2.5624839844762271E-2</v>
      </c>
      <c r="HU21" s="411">
        <f t="shared" si="225"/>
        <v>-1.8017686846195979</v>
      </c>
      <c r="HV21" s="411">
        <f t="shared" si="225"/>
        <v>-6.7096631606441415</v>
      </c>
      <c r="HW21" s="411">
        <f t="shared" si="225"/>
        <v>0.42787352867244</v>
      </c>
      <c r="HX21" s="411">
        <f t="shared" si="225"/>
        <v>-6.657561393642375</v>
      </c>
      <c r="HY21" s="457">
        <f t="shared" si="225"/>
        <v>0.54856775510632172</v>
      </c>
      <c r="HZ21" s="411">
        <f t="shared" ref="HZ21" si="226">(HZ20/HM20-1)*100</f>
        <v>-8.4694042301275534</v>
      </c>
      <c r="IA21" s="411">
        <f t="shared" ref="IA21" si="227">(IA20/HN20-1)*100</f>
        <v>2.0356557160239097</v>
      </c>
      <c r="IB21" s="411">
        <f t="shared" ref="IB21" si="228">(IB20/HO20-1)*100</f>
        <v>0.65146257797286111</v>
      </c>
      <c r="IC21" s="411">
        <f t="shared" ref="IC21" si="229">(IC20/HP20-1)*100</f>
        <v>-1.6171528643327049</v>
      </c>
      <c r="ID21" s="411">
        <f t="shared" ref="ID21" si="230">(ID20/HQ20-1)*100</f>
        <v>4.5564819033779402</v>
      </c>
      <c r="IE21" s="411">
        <f t="shared" ref="IE21" si="231">(IE20/HR20-1)*100</f>
        <v>1.5128530378730964</v>
      </c>
      <c r="IF21" s="411">
        <f t="shared" ref="IF21" si="232">(IF20/HS20-1)*100</f>
        <v>-2.7430026228935867</v>
      </c>
      <c r="IG21" s="411">
        <f t="shared" ref="IG21" si="233">(IG20/HT20-1)*100</f>
        <v>6.9119356169005775</v>
      </c>
      <c r="IH21" s="411">
        <f t="shared" ref="IH21" si="234">(IH20/HU20-1)*100</f>
        <v>8.0916397940030027</v>
      </c>
      <c r="II21" s="411">
        <f t="shared" ref="II21" si="235">(II20/HV20-1)*100</f>
        <v>5.7552980702963552</v>
      </c>
      <c r="IJ21" s="411">
        <f t="shared" ref="IJ21" si="236">(IJ20/HW20-1)*100</f>
        <v>10.101697128647679</v>
      </c>
      <c r="IK21" s="411">
        <f t="shared" ref="IK21" si="237">(IK20/HX20-1)*100</f>
        <v>7.0583847367665875</v>
      </c>
      <c r="IL21" s="464">
        <f t="shared" ref="IL21" si="238">(IL20/HY20-1)*100</f>
        <v>2.6751237040954612</v>
      </c>
      <c r="IM21" s="411">
        <f>(IM20/HZ20-1)*100</f>
        <v>8.124158449606945</v>
      </c>
      <c r="IN21" s="501">
        <f>(IN20/IA20-1)*100</f>
        <v>4.2679828700007194</v>
      </c>
      <c r="IO21" s="501">
        <f t="shared" ref="IO21:IX21" si="239">(IO20/IB20-1)*100</f>
        <v>12.472499410701655</v>
      </c>
      <c r="IP21" s="501">
        <f t="shared" si="239"/>
        <v>9.587649807028221</v>
      </c>
      <c r="IQ21" s="501">
        <f t="shared" si="239"/>
        <v>11.385934537059939</v>
      </c>
      <c r="IR21" s="501">
        <f t="shared" si="239"/>
        <v>11.686311311949481</v>
      </c>
      <c r="IS21" s="501">
        <f t="shared" si="239"/>
        <v>5.6687020725251891</v>
      </c>
      <c r="IT21" s="501">
        <f t="shared" si="239"/>
        <v>6.9817187207779963</v>
      </c>
      <c r="IU21" s="501">
        <f t="shared" si="239"/>
        <v>-1.1200066493901262</v>
      </c>
      <c r="IV21" s="501">
        <f t="shared" si="239"/>
        <v>0.83129176059937304</v>
      </c>
      <c r="IW21" s="501">
        <f t="shared" si="239"/>
        <v>8.4281379419410385</v>
      </c>
      <c r="IX21" s="501">
        <f t="shared" si="239"/>
        <v>9.9659120144069959</v>
      </c>
      <c r="IY21" s="464">
        <f t="shared" ref="IY21" si="240">(IY20/IL20-1)*100</f>
        <v>7.2912219921184462</v>
      </c>
      <c r="IZ21" s="501">
        <f>(IZ20/IM20-1)*100</f>
        <v>0.30452988199467512</v>
      </c>
      <c r="JA21" s="501">
        <f>(JA20/IN20-1)*100</f>
        <v>3.9928397394460635</v>
      </c>
      <c r="JB21" s="501">
        <f t="shared" ref="JB21:JK21" si="241">(JB20/IO20-1)*100</f>
        <v>-0.69423219665546432</v>
      </c>
      <c r="JC21" s="501">
        <f t="shared" si="241"/>
        <v>0.13170089263938589</v>
      </c>
      <c r="JD21" s="501">
        <f t="shared" si="241"/>
        <v>6.5242677381833536</v>
      </c>
      <c r="JE21" s="501">
        <f t="shared" si="241"/>
        <v>2.43401223856059</v>
      </c>
      <c r="JF21" s="501">
        <f t="shared" si="241"/>
        <v>12.586155229247819</v>
      </c>
      <c r="JG21" s="501">
        <f t="shared" si="241"/>
        <v>20.595465719748706</v>
      </c>
      <c r="JH21" s="501">
        <f t="shared" si="241"/>
        <v>5.1335935154608325</v>
      </c>
      <c r="JI21" s="501">
        <f t="shared" si="241"/>
        <v>18.217621812673567</v>
      </c>
      <c r="JJ21" s="501">
        <f t="shared" si="241"/>
        <v>2.3564266180492233</v>
      </c>
      <c r="JK21" s="501">
        <f t="shared" si="241"/>
        <v>-3.6847492323439091</v>
      </c>
      <c r="JL21" s="510">
        <f t="shared" ref="JL21" si="242">(JL20/IY20-1)*100</f>
        <v>5.416969801595628</v>
      </c>
      <c r="JM21" s="501">
        <f t="shared" si="117"/>
        <v>1.0517755489292568</v>
      </c>
      <c r="JN21" s="564">
        <f>(JN20/JA20-1)*100</f>
        <v>-3.863440757387393</v>
      </c>
    </row>
    <row r="22" spans="1:274" ht="13.5" customHeight="1" x14ac:dyDescent="0.3">
      <c r="A22" s="544"/>
      <c r="B22" s="45" t="s">
        <v>103</v>
      </c>
      <c r="C22" s="187">
        <v>12545</v>
      </c>
      <c r="D22" s="188">
        <v>13531</v>
      </c>
      <c r="E22" s="189">
        <v>13732</v>
      </c>
      <c r="F22" s="188">
        <v>12726</v>
      </c>
      <c r="G22" s="189">
        <v>11448</v>
      </c>
      <c r="H22" s="188">
        <v>11151</v>
      </c>
      <c r="I22" s="189">
        <v>11733</v>
      </c>
      <c r="J22" s="188">
        <v>12192</v>
      </c>
      <c r="K22" s="189">
        <v>12442</v>
      </c>
      <c r="L22" s="188">
        <v>10055</v>
      </c>
      <c r="M22" s="189">
        <v>9638</v>
      </c>
      <c r="N22" s="191">
        <f>SUM(AA22:AL22)</f>
        <v>9930</v>
      </c>
      <c r="O22" s="189">
        <v>727</v>
      </c>
      <c r="P22" s="188">
        <v>788</v>
      </c>
      <c r="Q22" s="188">
        <v>886</v>
      </c>
      <c r="R22" s="188">
        <v>791</v>
      </c>
      <c r="S22" s="188">
        <v>736</v>
      </c>
      <c r="T22" s="188">
        <v>840</v>
      </c>
      <c r="U22" s="188">
        <v>866</v>
      </c>
      <c r="V22" s="188">
        <v>713</v>
      </c>
      <c r="W22" s="188">
        <v>833</v>
      </c>
      <c r="X22" s="188">
        <v>840</v>
      </c>
      <c r="Y22" s="188">
        <v>847</v>
      </c>
      <c r="Z22" s="188">
        <v>771</v>
      </c>
      <c r="AA22" s="189">
        <v>735</v>
      </c>
      <c r="AB22" s="188">
        <v>834</v>
      </c>
      <c r="AC22" s="189">
        <v>895</v>
      </c>
      <c r="AD22" s="188">
        <v>812</v>
      </c>
      <c r="AE22" s="189">
        <v>767</v>
      </c>
      <c r="AF22" s="188">
        <v>863</v>
      </c>
      <c r="AG22" s="189">
        <v>859</v>
      </c>
      <c r="AH22" s="188">
        <v>770</v>
      </c>
      <c r="AI22" s="189">
        <v>836</v>
      </c>
      <c r="AJ22" s="188">
        <v>889</v>
      </c>
      <c r="AK22" s="189">
        <v>870</v>
      </c>
      <c r="AL22" s="188">
        <v>800</v>
      </c>
      <c r="AM22" s="190">
        <f>SUM(AN22:AY22)</f>
        <v>9475</v>
      </c>
      <c r="AN22" s="226">
        <v>781</v>
      </c>
      <c r="AO22" s="189">
        <v>833</v>
      </c>
      <c r="AP22" s="227">
        <v>900</v>
      </c>
      <c r="AQ22" s="194">
        <v>794</v>
      </c>
      <c r="AR22" s="194">
        <v>767</v>
      </c>
      <c r="AS22" s="194">
        <v>812</v>
      </c>
      <c r="AT22" s="194">
        <v>792</v>
      </c>
      <c r="AU22" s="194">
        <v>751</v>
      </c>
      <c r="AV22" s="194">
        <v>765</v>
      </c>
      <c r="AW22" s="194">
        <v>803</v>
      </c>
      <c r="AX22" s="194">
        <v>770</v>
      </c>
      <c r="AY22" s="195">
        <v>707</v>
      </c>
      <c r="AZ22" s="241">
        <f>SUM(BA22:BL22)</f>
        <v>9475</v>
      </c>
      <c r="BA22" s="228">
        <v>657</v>
      </c>
      <c r="BB22" s="198">
        <v>725</v>
      </c>
      <c r="BC22" s="198">
        <v>769</v>
      </c>
      <c r="BD22" s="198">
        <v>745</v>
      </c>
      <c r="BE22" s="198">
        <v>757</v>
      </c>
      <c r="BF22" s="198">
        <v>781</v>
      </c>
      <c r="BG22" s="198">
        <v>858</v>
      </c>
      <c r="BH22" s="198">
        <v>728</v>
      </c>
      <c r="BI22" s="198">
        <v>880</v>
      </c>
      <c r="BJ22" s="198">
        <v>893</v>
      </c>
      <c r="BK22" s="198">
        <v>868</v>
      </c>
      <c r="BL22" s="198">
        <v>814</v>
      </c>
      <c r="BM22" s="199">
        <v>830</v>
      </c>
      <c r="BN22" s="199">
        <v>857</v>
      </c>
      <c r="BO22" s="199">
        <v>876</v>
      </c>
      <c r="BP22" s="199">
        <v>885</v>
      </c>
      <c r="BQ22" s="199">
        <v>872</v>
      </c>
      <c r="BR22" s="199">
        <v>922</v>
      </c>
      <c r="BS22" s="199">
        <v>981</v>
      </c>
      <c r="BT22" s="199">
        <v>825</v>
      </c>
      <c r="BU22" s="199">
        <v>959</v>
      </c>
      <c r="BV22" s="199">
        <v>1018</v>
      </c>
      <c r="BW22" s="199">
        <v>957</v>
      </c>
      <c r="BX22" s="199">
        <v>957</v>
      </c>
      <c r="BY22" s="168">
        <f>SUM(BM22:BX22)</f>
        <v>10939</v>
      </c>
      <c r="BZ22" s="228">
        <v>927</v>
      </c>
      <c r="CA22" s="198">
        <v>993</v>
      </c>
      <c r="CB22" s="198">
        <v>1063</v>
      </c>
      <c r="CC22" s="198">
        <v>1009</v>
      </c>
      <c r="CD22" s="229">
        <v>911</v>
      </c>
      <c r="CE22" s="235">
        <v>1051</v>
      </c>
      <c r="CF22" s="236">
        <v>1046</v>
      </c>
      <c r="CG22" s="236">
        <v>925</v>
      </c>
      <c r="CH22" s="236">
        <v>1137</v>
      </c>
      <c r="CI22" s="236">
        <v>1077</v>
      </c>
      <c r="CJ22" s="236">
        <v>1093.55</v>
      </c>
      <c r="CK22" s="343">
        <v>1063</v>
      </c>
      <c r="CL22" s="345">
        <f>SUM(BZ22:CK22)</f>
        <v>12295.55</v>
      </c>
      <c r="CM22" s="277">
        <v>983</v>
      </c>
      <c r="CN22" s="278">
        <v>1068</v>
      </c>
      <c r="CO22" s="278">
        <v>1184</v>
      </c>
      <c r="CP22" s="361">
        <v>1115</v>
      </c>
      <c r="CQ22" s="361">
        <v>1006</v>
      </c>
      <c r="CR22" s="361">
        <v>1163</v>
      </c>
      <c r="CS22" s="361">
        <v>1109</v>
      </c>
      <c r="CT22" s="361">
        <v>977</v>
      </c>
      <c r="CU22" s="361">
        <v>1120</v>
      </c>
      <c r="CV22" s="361">
        <v>1103</v>
      </c>
      <c r="CW22" s="361">
        <v>1129</v>
      </c>
      <c r="CX22" s="353">
        <v>1059</v>
      </c>
      <c r="CY22" s="345">
        <f>SUM(CM22:CX22)</f>
        <v>13016</v>
      </c>
      <c r="CZ22" s="361">
        <v>1005</v>
      </c>
      <c r="DA22" s="361">
        <v>1105</v>
      </c>
      <c r="DB22" s="361">
        <v>1231</v>
      </c>
      <c r="DC22" s="361">
        <v>1122</v>
      </c>
      <c r="DD22" s="361">
        <v>1014</v>
      </c>
      <c r="DE22" s="361">
        <v>1162</v>
      </c>
      <c r="DF22" s="361">
        <v>1130</v>
      </c>
      <c r="DG22" s="361">
        <v>1037</v>
      </c>
      <c r="DH22" s="361">
        <v>1136</v>
      </c>
      <c r="DI22" s="361">
        <v>1193</v>
      </c>
      <c r="DJ22" s="361">
        <v>1141</v>
      </c>
      <c r="DK22" s="361">
        <v>1170</v>
      </c>
      <c r="DL22" s="345">
        <f>SUM(CZ22:DK22)</f>
        <v>13446</v>
      </c>
      <c r="DM22" s="361">
        <v>1081</v>
      </c>
      <c r="DN22" s="361">
        <v>1139</v>
      </c>
      <c r="DO22" s="361">
        <v>1266</v>
      </c>
      <c r="DP22" s="361">
        <v>1189</v>
      </c>
      <c r="DQ22" s="361">
        <v>1166</v>
      </c>
      <c r="DR22" s="361">
        <v>1244</v>
      </c>
      <c r="DS22" s="361">
        <v>1240</v>
      </c>
      <c r="DT22" s="361">
        <v>1097</v>
      </c>
      <c r="DU22" s="361">
        <v>1218</v>
      </c>
      <c r="DV22" s="361">
        <v>1343</v>
      </c>
      <c r="DW22" s="361">
        <v>1314</v>
      </c>
      <c r="DX22" s="278">
        <v>1203</v>
      </c>
      <c r="DY22" s="385">
        <f>SUM(DM22:DX22)</f>
        <v>14500</v>
      </c>
      <c r="DZ22" s="391">
        <v>1116</v>
      </c>
      <c r="EA22" s="391">
        <v>1256</v>
      </c>
      <c r="EB22" s="391">
        <v>1288</v>
      </c>
      <c r="EC22" s="391">
        <v>1222</v>
      </c>
      <c r="ED22" s="391">
        <v>1136</v>
      </c>
      <c r="EE22" s="391">
        <v>1213</v>
      </c>
      <c r="EF22" s="391">
        <v>1265</v>
      </c>
      <c r="EG22" s="391">
        <v>990</v>
      </c>
      <c r="EH22" s="391">
        <v>1218</v>
      </c>
      <c r="EI22" s="391">
        <v>1187</v>
      </c>
      <c r="EJ22" s="391">
        <v>1000</v>
      </c>
      <c r="EK22" s="391">
        <v>792</v>
      </c>
      <c r="EL22" s="385">
        <f>SUM(DZ22:EK22)</f>
        <v>13683</v>
      </c>
      <c r="EM22" s="391">
        <v>610</v>
      </c>
      <c r="EN22" s="391">
        <v>537</v>
      </c>
      <c r="EO22" s="391">
        <v>530</v>
      </c>
      <c r="EP22" s="391">
        <v>527.476</v>
      </c>
      <c r="EQ22" s="391">
        <v>506.678</v>
      </c>
      <c r="ER22" s="391">
        <v>629.81200000000001</v>
      </c>
      <c r="ES22" s="391">
        <v>660.928</v>
      </c>
      <c r="ET22" s="391">
        <v>567.62199999999996</v>
      </c>
      <c r="EU22" s="391">
        <v>711.971</v>
      </c>
      <c r="EV22" s="391">
        <v>724.73199999999997</v>
      </c>
      <c r="EW22" s="391">
        <v>742.20899999999995</v>
      </c>
      <c r="EX22" s="391">
        <v>751.26300000000003</v>
      </c>
      <c r="EY22" s="385">
        <f>SUM(EM22:EX22)</f>
        <v>7499.6909999999989</v>
      </c>
      <c r="EZ22" s="391">
        <v>701.42499999999995</v>
      </c>
      <c r="FA22" s="391">
        <v>812.12400000000002</v>
      </c>
      <c r="FB22" s="391">
        <v>887.48699999999997</v>
      </c>
      <c r="FC22" s="391">
        <v>834.49599999999998</v>
      </c>
      <c r="FD22" s="391">
        <v>779.39400000000001</v>
      </c>
      <c r="FE22" s="391">
        <v>938.31399999999996</v>
      </c>
      <c r="FF22" s="391">
        <v>934.97400000000005</v>
      </c>
      <c r="FG22" s="391">
        <v>774.07399999999996</v>
      </c>
      <c r="FH22" s="391">
        <v>973.56500000000005</v>
      </c>
      <c r="FI22" s="391">
        <v>906.05499999999995</v>
      </c>
      <c r="FJ22" s="391">
        <v>951.48</v>
      </c>
      <c r="FK22" s="391">
        <v>902.09900000000005</v>
      </c>
      <c r="FL22" s="385">
        <f>SUM(EZ22:FK22)</f>
        <v>10395.487000000001</v>
      </c>
      <c r="FM22" s="391">
        <v>852.55</v>
      </c>
      <c r="FN22" s="391">
        <v>955.36300000000006</v>
      </c>
      <c r="FO22" s="391">
        <v>938.36599999999999</v>
      </c>
      <c r="FP22" s="391">
        <v>822.27700000000004</v>
      </c>
      <c r="FQ22" s="391">
        <v>741.53700000000003</v>
      </c>
      <c r="FR22" s="391">
        <v>961.56</v>
      </c>
      <c r="FS22" s="391">
        <v>969.83600000000001</v>
      </c>
      <c r="FT22" s="391">
        <v>889.52300000000002</v>
      </c>
      <c r="FU22" s="391">
        <v>1031.7059999999999</v>
      </c>
      <c r="FV22" s="391">
        <v>1045.4780000000001</v>
      </c>
      <c r="FW22" s="391">
        <v>1071.242</v>
      </c>
      <c r="FX22" s="391">
        <v>968.39599999999996</v>
      </c>
      <c r="FY22" s="385">
        <f>SUM(FM22:FX22)</f>
        <v>11247.834000000001</v>
      </c>
      <c r="FZ22" s="391">
        <v>912.11800000000005</v>
      </c>
      <c r="GA22" s="391">
        <v>1023.006</v>
      </c>
      <c r="GB22" s="391">
        <v>1094.9949999999999</v>
      </c>
      <c r="GC22" s="391">
        <v>974.05600000000004</v>
      </c>
      <c r="GD22" s="415">
        <v>928.35199999999998</v>
      </c>
      <c r="GE22" s="415">
        <v>998.55100000000004</v>
      </c>
      <c r="GF22" s="415">
        <v>1011.67</v>
      </c>
      <c r="GG22" s="415">
        <v>852.12199999999996</v>
      </c>
      <c r="GH22" s="415">
        <v>927.31399999999996</v>
      </c>
      <c r="GI22" s="415">
        <v>970.404</v>
      </c>
      <c r="GJ22" s="415">
        <v>898.96100000000001</v>
      </c>
      <c r="GK22" s="415">
        <v>804.91499999999996</v>
      </c>
      <c r="GL22" s="385">
        <f>SUM(FZ22:GK22)</f>
        <v>11396.464</v>
      </c>
      <c r="GM22" s="391">
        <v>880.53700000000003</v>
      </c>
      <c r="GN22" s="391">
        <v>996.89099999999996</v>
      </c>
      <c r="GO22" s="391">
        <v>1036.152</v>
      </c>
      <c r="GP22" s="391">
        <v>1022.732</v>
      </c>
      <c r="GQ22" s="391">
        <v>1017.14</v>
      </c>
      <c r="GR22" s="391">
        <v>1028.864</v>
      </c>
      <c r="GS22" s="391">
        <v>1141.587</v>
      </c>
      <c r="GT22" s="391">
        <v>905.31299999999999</v>
      </c>
      <c r="GU22" s="391">
        <v>1078.325</v>
      </c>
      <c r="GV22" s="391">
        <v>1125.463</v>
      </c>
      <c r="GW22" s="391">
        <v>1052.8579999999999</v>
      </c>
      <c r="GX22" s="391">
        <v>1028.0029999999999</v>
      </c>
      <c r="GY22" s="385">
        <f>SUM(GM22:GX22)</f>
        <v>12313.865000000002</v>
      </c>
      <c r="GZ22" s="391">
        <v>1031.998</v>
      </c>
      <c r="HA22" s="391">
        <v>1067.395</v>
      </c>
      <c r="HB22" s="391">
        <v>1123.742</v>
      </c>
      <c r="HC22" s="391">
        <v>1059.4639999999999</v>
      </c>
      <c r="HD22" s="391">
        <v>1032.797</v>
      </c>
      <c r="HE22" s="391">
        <v>1132.7180000000001</v>
      </c>
      <c r="HF22" s="391">
        <v>1189.8420000000001</v>
      </c>
      <c r="HG22" s="391">
        <v>931.31100000000004</v>
      </c>
      <c r="HH22" s="391">
        <v>1194.934</v>
      </c>
      <c r="HI22" s="391">
        <v>1200.5650000000001</v>
      </c>
      <c r="HJ22" s="391">
        <v>1078.598</v>
      </c>
      <c r="HK22" s="391">
        <v>1099.7860000000001</v>
      </c>
      <c r="HL22" s="385">
        <f>SUM(GZ22:HK22)</f>
        <v>13143.15</v>
      </c>
      <c r="HM22" s="391">
        <v>1077.4100000000001</v>
      </c>
      <c r="HN22" s="277">
        <v>1117.08</v>
      </c>
      <c r="HO22" s="429">
        <v>1201.115</v>
      </c>
      <c r="HP22" s="426">
        <v>1123.32</v>
      </c>
      <c r="HQ22" s="433">
        <v>978.61800000000005</v>
      </c>
      <c r="HR22" s="433">
        <v>1166.152</v>
      </c>
      <c r="HS22" s="433">
        <v>1178.9739999999999</v>
      </c>
      <c r="HT22" s="433">
        <v>953.19899999999996</v>
      </c>
      <c r="HU22" s="433">
        <v>1145.5740000000001</v>
      </c>
      <c r="HV22" s="433">
        <v>1137.3920000000001</v>
      </c>
      <c r="HW22" s="433">
        <v>1136.5340000000001</v>
      </c>
      <c r="HX22" s="433">
        <v>1066.944</v>
      </c>
      <c r="HY22" s="461">
        <f>SUM(HM22:HX22)</f>
        <v>13282.312</v>
      </c>
      <c r="HZ22" s="467">
        <v>956215</v>
      </c>
      <c r="IA22" s="467">
        <v>1161705</v>
      </c>
      <c r="IB22" s="467">
        <v>1256755</v>
      </c>
      <c r="IC22" s="467">
        <v>1157539</v>
      </c>
      <c r="ID22" s="467">
        <v>1034030</v>
      </c>
      <c r="IE22" s="467">
        <v>1208675</v>
      </c>
      <c r="IF22" s="467">
        <v>1157885</v>
      </c>
      <c r="IG22" s="467">
        <v>1035117</v>
      </c>
      <c r="IH22" s="467">
        <v>1257913</v>
      </c>
      <c r="II22" s="467">
        <v>1224756</v>
      </c>
      <c r="IJ22" s="467">
        <v>1254164</v>
      </c>
      <c r="IK22" s="467">
        <v>1150529</v>
      </c>
      <c r="IL22" s="468">
        <f>SUM(HZ22:IK22)</f>
        <v>13855283</v>
      </c>
      <c r="IM22" s="467">
        <v>1115372</v>
      </c>
      <c r="IN22" s="467">
        <v>1199710</v>
      </c>
      <c r="IO22" s="467">
        <v>1350019</v>
      </c>
      <c r="IP22" s="467">
        <v>1212194</v>
      </c>
      <c r="IQ22" s="467">
        <v>1124884</v>
      </c>
      <c r="IR22" s="467">
        <v>1314488</v>
      </c>
      <c r="IS22" s="467">
        <v>1262049</v>
      </c>
      <c r="IT22" s="467">
        <v>1115089</v>
      </c>
      <c r="IU22" s="467">
        <v>1212481</v>
      </c>
      <c r="IV22" s="467">
        <v>1207385</v>
      </c>
      <c r="IW22" s="467">
        <v>1398462</v>
      </c>
      <c r="IX22" s="467">
        <v>1268661</v>
      </c>
      <c r="IY22" s="468">
        <f>SUM(IM22:IX22)</f>
        <v>14780794</v>
      </c>
      <c r="IZ22" s="467">
        <v>1108697</v>
      </c>
      <c r="JA22" s="467">
        <v>1271246</v>
      </c>
      <c r="JB22" s="467">
        <v>1373446</v>
      </c>
      <c r="JC22" s="467">
        <v>1245175</v>
      </c>
      <c r="JD22" s="467">
        <v>1204765</v>
      </c>
      <c r="JE22" s="467">
        <v>1318355</v>
      </c>
      <c r="JF22" s="520">
        <v>1303</v>
      </c>
      <c r="JG22" s="520">
        <v>1156</v>
      </c>
      <c r="JH22" s="520">
        <v>1228</v>
      </c>
      <c r="JI22" s="520">
        <v>1384</v>
      </c>
      <c r="JJ22" s="520">
        <v>1341</v>
      </c>
      <c r="JK22" s="522">
        <v>1191</v>
      </c>
      <c r="JL22" s="524">
        <v>15124</v>
      </c>
      <c r="JM22" s="522">
        <v>1095</v>
      </c>
      <c r="JN22" s="565">
        <v>1176</v>
      </c>
    </row>
    <row r="23" spans="1:274" ht="13.5" customHeight="1" thickBot="1" x14ac:dyDescent="0.35">
      <c r="A23" s="551"/>
      <c r="B23" s="44" t="s">
        <v>102</v>
      </c>
      <c r="C23" s="201"/>
      <c r="D23" s="202">
        <f t="shared" ref="D23:M23" si="243">(D22/C22-1)*100</f>
        <v>7.8597050617775999</v>
      </c>
      <c r="E23" s="202">
        <f t="shared" si="243"/>
        <v>1.4854777917374884</v>
      </c>
      <c r="F23" s="202">
        <f t="shared" si="243"/>
        <v>-7.3259539761141852</v>
      </c>
      <c r="G23" s="202">
        <f t="shared" si="243"/>
        <v>-10.042432814710045</v>
      </c>
      <c r="H23" s="202">
        <f t="shared" si="243"/>
        <v>-2.5943396226415061</v>
      </c>
      <c r="I23" s="202">
        <f t="shared" si="243"/>
        <v>5.2192628463815005</v>
      </c>
      <c r="J23" s="202">
        <f t="shared" si="243"/>
        <v>3.9120429557657932</v>
      </c>
      <c r="K23" s="202">
        <f t="shared" si="243"/>
        <v>2.0505249343832022</v>
      </c>
      <c r="L23" s="202">
        <f t="shared" si="243"/>
        <v>-19.185018485773988</v>
      </c>
      <c r="M23" s="202">
        <f t="shared" si="243"/>
        <v>-4.1471904525111842</v>
      </c>
      <c r="N23" s="202">
        <f>(N22/M22-1)*100</f>
        <v>3.0296742062668525</v>
      </c>
      <c r="O23" s="203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5"/>
      <c r="AA23" s="202">
        <f t="shared" ref="AA23:AL23" si="244">(AA22/O22-1)*100</f>
        <v>1.1004126547455195</v>
      </c>
      <c r="AB23" s="202">
        <f t="shared" si="244"/>
        <v>5.8375634517766395</v>
      </c>
      <c r="AC23" s="202">
        <f t="shared" si="244"/>
        <v>1.0158013544018019</v>
      </c>
      <c r="AD23" s="202">
        <f t="shared" si="244"/>
        <v>2.6548672566371723</v>
      </c>
      <c r="AE23" s="202">
        <f t="shared" si="244"/>
        <v>4.2119565217391353</v>
      </c>
      <c r="AF23" s="202">
        <f t="shared" si="244"/>
        <v>2.7380952380952284</v>
      </c>
      <c r="AG23" s="202">
        <f t="shared" si="244"/>
        <v>-0.8083140877598205</v>
      </c>
      <c r="AH23" s="202">
        <f t="shared" si="244"/>
        <v>7.9943899018232845</v>
      </c>
      <c r="AI23" s="202">
        <f t="shared" si="244"/>
        <v>0.36014405762305746</v>
      </c>
      <c r="AJ23" s="202">
        <f t="shared" si="244"/>
        <v>5.8333333333333348</v>
      </c>
      <c r="AK23" s="202">
        <f t="shared" si="244"/>
        <v>2.7154663518299982</v>
      </c>
      <c r="AL23" s="206">
        <f t="shared" si="244"/>
        <v>3.7613488975356768</v>
      </c>
      <c r="AM23" s="202">
        <f>(AM22/N22-1)*100</f>
        <v>-4.5820745216515579</v>
      </c>
      <c r="AN23" s="207">
        <f t="shared" ref="AN23:AY23" si="245">(AN22/AA22-1)*100</f>
        <v>6.2585034013605378</v>
      </c>
      <c r="AO23" s="202">
        <f t="shared" si="245"/>
        <v>-0.11990407673860837</v>
      </c>
      <c r="AP23" s="206">
        <f t="shared" si="245"/>
        <v>0.55865921787709993</v>
      </c>
      <c r="AQ23" s="202">
        <f t="shared" si="245"/>
        <v>-2.2167487684729092</v>
      </c>
      <c r="AR23" s="202">
        <f t="shared" si="245"/>
        <v>0</v>
      </c>
      <c r="AS23" s="208">
        <f t="shared" si="245"/>
        <v>-5.9096176129779803</v>
      </c>
      <c r="AT23" s="202">
        <f t="shared" si="245"/>
        <v>-7.7997671711292238</v>
      </c>
      <c r="AU23" s="208">
        <f t="shared" si="245"/>
        <v>-2.4675324675324628</v>
      </c>
      <c r="AV23" s="202">
        <f t="shared" si="245"/>
        <v>-8.4928229665071733</v>
      </c>
      <c r="AW23" s="208">
        <f t="shared" si="245"/>
        <v>-9.6737907761529804</v>
      </c>
      <c r="AX23" s="202">
        <f t="shared" si="245"/>
        <v>-11.494252873563216</v>
      </c>
      <c r="AY23" s="209">
        <f t="shared" si="245"/>
        <v>-11.624999999999996</v>
      </c>
      <c r="AZ23" s="182">
        <f t="shared" ref="AZ23:BL23" si="246">(AZ22/AM22-1)*100</f>
        <v>0</v>
      </c>
      <c r="BA23" s="211">
        <f t="shared" si="246"/>
        <v>-15.877080665813059</v>
      </c>
      <c r="BB23" s="212">
        <f t="shared" si="246"/>
        <v>-12.965186074429768</v>
      </c>
      <c r="BC23" s="212">
        <f t="shared" si="246"/>
        <v>-14.555555555555555</v>
      </c>
      <c r="BD23" s="212">
        <f t="shared" si="246"/>
        <v>-6.1712846347607098</v>
      </c>
      <c r="BE23" s="212">
        <f t="shared" si="246"/>
        <v>-1.3037809647979182</v>
      </c>
      <c r="BF23" s="212">
        <f t="shared" si="246"/>
        <v>-3.8177339901477869</v>
      </c>
      <c r="BG23" s="212">
        <f t="shared" si="246"/>
        <v>8.333333333333325</v>
      </c>
      <c r="BH23" s="212">
        <f t="shared" si="246"/>
        <v>-3.0625832223701743</v>
      </c>
      <c r="BI23" s="212">
        <f t="shared" si="246"/>
        <v>15.032679738562083</v>
      </c>
      <c r="BJ23" s="212">
        <f t="shared" si="246"/>
        <v>11.207970112079702</v>
      </c>
      <c r="BK23" s="212">
        <f t="shared" si="246"/>
        <v>12.72727272727272</v>
      </c>
      <c r="BL23" s="212">
        <f t="shared" si="246"/>
        <v>15.134370579915135</v>
      </c>
      <c r="BM23" s="213">
        <f t="shared" ref="BM23:BX23" si="247">(BM22/BA22-1)*100</f>
        <v>26.331811263318116</v>
      </c>
      <c r="BN23" s="213">
        <f t="shared" si="247"/>
        <v>18.206896551724139</v>
      </c>
      <c r="BO23" s="213">
        <f t="shared" si="247"/>
        <v>13.914174252275679</v>
      </c>
      <c r="BP23" s="213">
        <f t="shared" si="247"/>
        <v>18.791946308724828</v>
      </c>
      <c r="BQ23" s="213">
        <f t="shared" si="247"/>
        <v>15.191545574636734</v>
      </c>
      <c r="BR23" s="213">
        <f t="shared" si="247"/>
        <v>18.053777208706776</v>
      </c>
      <c r="BS23" s="213">
        <f t="shared" si="247"/>
        <v>14.335664335664333</v>
      </c>
      <c r="BT23" s="213">
        <f t="shared" si="247"/>
        <v>13.324175824175821</v>
      </c>
      <c r="BU23" s="213">
        <f t="shared" si="247"/>
        <v>8.9772727272727337</v>
      </c>
      <c r="BV23" s="213">
        <f t="shared" si="247"/>
        <v>13.99776035834266</v>
      </c>
      <c r="BW23" s="213">
        <f t="shared" si="247"/>
        <v>10.253456221198153</v>
      </c>
      <c r="BX23" s="213">
        <f t="shared" si="247"/>
        <v>17.567567567567565</v>
      </c>
      <c r="BY23" s="182">
        <f>(BY22/AZ22-1)*100</f>
        <v>15.451187335092342</v>
      </c>
      <c r="BZ23" s="240">
        <f t="shared" ref="BZ23:CJ23" si="248">(BZ22/BM22-1)*100</f>
        <v>11.686746987951802</v>
      </c>
      <c r="CA23" s="212">
        <f t="shared" si="248"/>
        <v>15.869311551925325</v>
      </c>
      <c r="CB23" s="212">
        <f t="shared" si="248"/>
        <v>21.347031963470322</v>
      </c>
      <c r="CC23" s="212">
        <f t="shared" si="248"/>
        <v>14.011299435028256</v>
      </c>
      <c r="CD23" s="212">
        <f t="shared" si="248"/>
        <v>4.4724770642201817</v>
      </c>
      <c r="CE23" s="217">
        <f t="shared" si="248"/>
        <v>13.991323210412144</v>
      </c>
      <c r="CF23" s="217">
        <f t="shared" si="248"/>
        <v>6.6258919469928568</v>
      </c>
      <c r="CG23" s="217">
        <f t="shared" si="248"/>
        <v>12.12121212121211</v>
      </c>
      <c r="CH23" s="217">
        <f t="shared" si="248"/>
        <v>18.561001042752867</v>
      </c>
      <c r="CI23" s="217">
        <f t="shared" si="248"/>
        <v>5.7956777996070796</v>
      </c>
      <c r="CJ23" s="217">
        <f t="shared" si="248"/>
        <v>14.268547544409603</v>
      </c>
      <c r="CK23" s="342">
        <f t="shared" ref="CK23:EH23" si="249">(CK22/BX22-1)*100</f>
        <v>11.076280041797283</v>
      </c>
      <c r="CL23" s="181">
        <f t="shared" si="249"/>
        <v>12.40104214279183</v>
      </c>
      <c r="CM23" s="273">
        <f t="shared" si="249"/>
        <v>6.0409924487594413</v>
      </c>
      <c r="CN23" s="274">
        <f t="shared" si="249"/>
        <v>7.5528700906344337</v>
      </c>
      <c r="CO23" s="274">
        <f t="shared" si="249"/>
        <v>11.382878645343375</v>
      </c>
      <c r="CP23" s="359">
        <f t="shared" si="249"/>
        <v>10.505450941526263</v>
      </c>
      <c r="CQ23" s="359">
        <f t="shared" si="249"/>
        <v>10.428100987925347</v>
      </c>
      <c r="CR23" s="359">
        <f t="shared" si="249"/>
        <v>10.656517602283543</v>
      </c>
      <c r="CS23" s="359">
        <f t="shared" si="249"/>
        <v>6.022944550669207</v>
      </c>
      <c r="CT23" s="359">
        <f t="shared" si="249"/>
        <v>5.6216216216216308</v>
      </c>
      <c r="CU23" s="359">
        <f t="shared" si="249"/>
        <v>-1.4951627088830244</v>
      </c>
      <c r="CV23" s="359">
        <f t="shared" si="249"/>
        <v>2.4141132776230201</v>
      </c>
      <c r="CW23" s="359">
        <f t="shared" si="249"/>
        <v>3.2417356316583712</v>
      </c>
      <c r="CX23" s="351">
        <f t="shared" si="249"/>
        <v>-0.37629350893697566</v>
      </c>
      <c r="CY23" s="181">
        <f t="shared" si="249"/>
        <v>5.8594369507667388</v>
      </c>
      <c r="CZ23" s="359">
        <f t="shared" si="249"/>
        <v>2.238046795523907</v>
      </c>
      <c r="DA23" s="359">
        <f t="shared" si="249"/>
        <v>3.4644194756554336</v>
      </c>
      <c r="DB23" s="359">
        <f t="shared" si="249"/>
        <v>3.9695945945946054</v>
      </c>
      <c r="DC23" s="359">
        <f t="shared" si="249"/>
        <v>0.62780269058295701</v>
      </c>
      <c r="DD23" s="359">
        <f t="shared" si="249"/>
        <v>0.79522862823062646</v>
      </c>
      <c r="DE23" s="359">
        <f t="shared" si="249"/>
        <v>-8.5984522785897965E-2</v>
      </c>
      <c r="DF23" s="359">
        <f t="shared" si="249"/>
        <v>1.8935978358881833</v>
      </c>
      <c r="DG23" s="359">
        <f t="shared" si="249"/>
        <v>6.1412487205731781</v>
      </c>
      <c r="DH23" s="359">
        <f t="shared" si="249"/>
        <v>1.4285714285714235</v>
      </c>
      <c r="DI23" s="359">
        <f t="shared" si="249"/>
        <v>8.1595648232094309</v>
      </c>
      <c r="DJ23" s="359">
        <f t="shared" si="249"/>
        <v>1.0628875110717528</v>
      </c>
      <c r="DK23" s="359">
        <f t="shared" si="249"/>
        <v>10.481586402266284</v>
      </c>
      <c r="DL23" s="181">
        <f t="shared" si="249"/>
        <v>3.3036263060848281</v>
      </c>
      <c r="DM23" s="359">
        <f t="shared" si="249"/>
        <v>7.5621890547263648</v>
      </c>
      <c r="DN23" s="359">
        <f t="shared" si="249"/>
        <v>3.076923076923066</v>
      </c>
      <c r="DO23" s="359">
        <f t="shared" si="249"/>
        <v>2.8432168968318461</v>
      </c>
      <c r="DP23" s="359">
        <f t="shared" si="249"/>
        <v>5.9714795008912747</v>
      </c>
      <c r="DQ23" s="359">
        <f t="shared" si="249"/>
        <v>14.990138067061153</v>
      </c>
      <c r="DR23" s="359">
        <f t="shared" si="249"/>
        <v>7.0567986230636759</v>
      </c>
      <c r="DS23" s="359">
        <f t="shared" si="249"/>
        <v>9.7345132743362761</v>
      </c>
      <c r="DT23" s="359">
        <f t="shared" si="249"/>
        <v>5.7859209257473454</v>
      </c>
      <c r="DU23" s="359">
        <f t="shared" si="249"/>
        <v>7.2183098591549255</v>
      </c>
      <c r="DV23" s="359">
        <f t="shared" si="249"/>
        <v>12.573344509639561</v>
      </c>
      <c r="DW23" s="359">
        <f t="shared" si="249"/>
        <v>15.162138475021901</v>
      </c>
      <c r="DX23" s="274">
        <f t="shared" si="249"/>
        <v>2.8205128205128105</v>
      </c>
      <c r="DY23" s="346">
        <f t="shared" si="249"/>
        <v>7.838762457236359</v>
      </c>
      <c r="DZ23" s="389">
        <f t="shared" si="249"/>
        <v>3.237742830712298</v>
      </c>
      <c r="EA23" s="389">
        <f t="shared" si="249"/>
        <v>10.272168568920105</v>
      </c>
      <c r="EB23" s="389">
        <f t="shared" si="249"/>
        <v>1.7377567140600236</v>
      </c>
      <c r="EC23" s="389">
        <f t="shared" si="249"/>
        <v>2.7754415475189198</v>
      </c>
      <c r="ED23" s="389">
        <f t="shared" si="249"/>
        <v>-2.5728987993138941</v>
      </c>
      <c r="EE23" s="389">
        <f t="shared" si="249"/>
        <v>-2.4919614147909996</v>
      </c>
      <c r="EF23" s="389">
        <f t="shared" si="249"/>
        <v>2.0161290322580738</v>
      </c>
      <c r="EG23" s="389">
        <f t="shared" si="249"/>
        <v>-9.7538742023701062</v>
      </c>
      <c r="EH23" s="389">
        <f t="shared" si="249"/>
        <v>0</v>
      </c>
      <c r="EI23" s="389">
        <f t="shared" ref="EI23:EX23" si="250">(EI22/DV22-1)*100</f>
        <v>-11.61578555472822</v>
      </c>
      <c r="EJ23" s="389">
        <f t="shared" si="250"/>
        <v>-23.896499238964996</v>
      </c>
      <c r="EK23" s="389">
        <f t="shared" si="250"/>
        <v>-34.164588528678308</v>
      </c>
      <c r="EL23" s="346">
        <f>(EL22/DY22-1)*100</f>
        <v>-5.6344827586206847</v>
      </c>
      <c r="EM23" s="389">
        <f t="shared" si="250"/>
        <v>-45.340501792114694</v>
      </c>
      <c r="EN23" s="389">
        <f t="shared" si="250"/>
        <v>-57.245222929936304</v>
      </c>
      <c r="EO23" s="389">
        <f t="shared" si="250"/>
        <v>-58.850931677018622</v>
      </c>
      <c r="EP23" s="389">
        <f t="shared" si="250"/>
        <v>-56.835024549918167</v>
      </c>
      <c r="EQ23" s="389">
        <f t="shared" si="250"/>
        <v>-55.398063380281691</v>
      </c>
      <c r="ER23" s="389">
        <f t="shared" si="250"/>
        <v>-48.078153338829345</v>
      </c>
      <c r="ES23" s="389">
        <f t="shared" si="250"/>
        <v>-47.75272727272727</v>
      </c>
      <c r="ET23" s="389">
        <f t="shared" si="250"/>
        <v>-42.664444444444449</v>
      </c>
      <c r="EU23" s="389">
        <f t="shared" si="250"/>
        <v>-41.545894909688009</v>
      </c>
      <c r="EV23" s="389">
        <f t="shared" si="250"/>
        <v>-38.944229149115415</v>
      </c>
      <c r="EW23" s="389">
        <f t="shared" si="250"/>
        <v>-25.77910000000001</v>
      </c>
      <c r="EX23" s="389">
        <f t="shared" si="250"/>
        <v>-5.1435606060606043</v>
      </c>
      <c r="EY23" s="346">
        <f t="shared" ref="EY23:FX23" si="251">(EY22/EL22-1)*100</f>
        <v>-45.189717167287881</v>
      </c>
      <c r="EZ23" s="389">
        <f t="shared" si="251"/>
        <v>14.987704918032785</v>
      </c>
      <c r="FA23" s="389">
        <f t="shared" si="251"/>
        <v>51.233519553072625</v>
      </c>
      <c r="FB23" s="389">
        <f t="shared" si="251"/>
        <v>67.450377358490556</v>
      </c>
      <c r="FC23" s="389">
        <f t="shared" si="251"/>
        <v>58.205491813845555</v>
      </c>
      <c r="FD23" s="389">
        <f t="shared" si="251"/>
        <v>53.824322350684263</v>
      </c>
      <c r="FE23" s="389">
        <f t="shared" si="251"/>
        <v>48.983188634068561</v>
      </c>
      <c r="FF23" s="389">
        <f t="shared" si="251"/>
        <v>41.463820567444579</v>
      </c>
      <c r="FG23" s="389">
        <f t="shared" si="251"/>
        <v>36.371388001169791</v>
      </c>
      <c r="FH23" s="389">
        <f t="shared" si="251"/>
        <v>36.742226860363701</v>
      </c>
      <c r="FI23" s="389">
        <f t="shared" si="251"/>
        <v>25.019317485636062</v>
      </c>
      <c r="FJ23" s="389">
        <f t="shared" si="251"/>
        <v>28.195696899390875</v>
      </c>
      <c r="FK23" s="389">
        <f t="shared" si="251"/>
        <v>20.077655894140946</v>
      </c>
      <c r="FL23" s="346">
        <f t="shared" si="251"/>
        <v>38.612204156144593</v>
      </c>
      <c r="FM23" s="389">
        <f t="shared" si="251"/>
        <v>21.545425384039628</v>
      </c>
      <c r="FN23" s="389">
        <f t="shared" si="251"/>
        <v>17.637577512793623</v>
      </c>
      <c r="FO23" s="389">
        <f t="shared" si="251"/>
        <v>5.7329290457212245</v>
      </c>
      <c r="FP23" s="389">
        <f t="shared" si="251"/>
        <v>-1.4642370964030871</v>
      </c>
      <c r="FQ23" s="389">
        <f t="shared" si="251"/>
        <v>-4.8572352366068934</v>
      </c>
      <c r="FR23" s="389">
        <f t="shared" si="251"/>
        <v>2.4774222701569037</v>
      </c>
      <c r="FS23" s="389">
        <f t="shared" si="251"/>
        <v>3.7286598343911237</v>
      </c>
      <c r="FT23" s="389">
        <f t="shared" si="251"/>
        <v>14.914465542054135</v>
      </c>
      <c r="FU23" s="389">
        <f t="shared" si="251"/>
        <v>5.971969000528965</v>
      </c>
      <c r="FV23" s="389">
        <f t="shared" si="251"/>
        <v>15.387917952000718</v>
      </c>
      <c r="FW23" s="389">
        <f t="shared" si="251"/>
        <v>12.586917223693606</v>
      </c>
      <c r="FX23" s="389">
        <f t="shared" si="251"/>
        <v>7.3491933812142474</v>
      </c>
      <c r="FY23" s="346">
        <f t="shared" ref="FY23:HY23" si="252">(FY22/FL22-1)*100</f>
        <v>8.1992022114981253</v>
      </c>
      <c r="FZ23" s="389">
        <f t="shared" si="252"/>
        <v>6.9870388833499719</v>
      </c>
      <c r="GA23" s="389">
        <f t="shared" si="252"/>
        <v>7.0803453765741375</v>
      </c>
      <c r="GB23" s="389">
        <f t="shared" si="252"/>
        <v>16.691674677044976</v>
      </c>
      <c r="GC23" s="389">
        <f t="shared" si="252"/>
        <v>18.458378381007854</v>
      </c>
      <c r="GD23" s="413">
        <f t="shared" si="252"/>
        <v>25.192943845013804</v>
      </c>
      <c r="GE23" s="413">
        <f t="shared" si="252"/>
        <v>3.8469778276966737</v>
      </c>
      <c r="GF23" s="413">
        <f t="shared" si="252"/>
        <v>4.3135128001022816</v>
      </c>
      <c r="GG23" s="413">
        <f t="shared" si="252"/>
        <v>-4.2046130341767523</v>
      </c>
      <c r="GH23" s="413">
        <f t="shared" si="252"/>
        <v>-10.118386439547699</v>
      </c>
      <c r="GI23" s="413">
        <f t="shared" si="252"/>
        <v>-7.1808302039832572</v>
      </c>
      <c r="GJ23" s="413">
        <f t="shared" si="252"/>
        <v>-16.082360475037383</v>
      </c>
      <c r="GK23" s="413">
        <f t="shared" si="252"/>
        <v>-16.881626937740347</v>
      </c>
      <c r="GL23" s="346">
        <f t="shared" si="252"/>
        <v>1.3214099710219696</v>
      </c>
      <c r="GM23" s="389">
        <f t="shared" si="252"/>
        <v>-3.4623809638665182</v>
      </c>
      <c r="GN23" s="389">
        <f t="shared" si="252"/>
        <v>-2.5527709514900243</v>
      </c>
      <c r="GO23" s="389">
        <f t="shared" si="252"/>
        <v>-5.373814492303608</v>
      </c>
      <c r="GP23" s="389">
        <f t="shared" si="252"/>
        <v>4.9972486181492526</v>
      </c>
      <c r="GQ23" s="389">
        <f t="shared" si="252"/>
        <v>9.5640446727103487</v>
      </c>
      <c r="GR23" s="389">
        <f t="shared" si="252"/>
        <v>3.035698727456082</v>
      </c>
      <c r="GS23" s="389">
        <f t="shared" si="252"/>
        <v>12.841835776488386</v>
      </c>
      <c r="GT23" s="389">
        <f t="shared" si="252"/>
        <v>6.2421812839006607</v>
      </c>
      <c r="GU23" s="389">
        <f t="shared" si="252"/>
        <v>16.284775167850384</v>
      </c>
      <c r="GV23" s="389">
        <f t="shared" si="252"/>
        <v>15.978808826014724</v>
      </c>
      <c r="GW23" s="389">
        <f t="shared" si="252"/>
        <v>17.119430097634925</v>
      </c>
      <c r="GX23" s="389">
        <f t="shared" si="252"/>
        <v>27.715721535814343</v>
      </c>
      <c r="GY23" s="346">
        <f t="shared" si="252"/>
        <v>8.0498740662016122</v>
      </c>
      <c r="GZ23" s="389">
        <f t="shared" si="252"/>
        <v>17.200980765146735</v>
      </c>
      <c r="HA23" s="389">
        <f t="shared" si="252"/>
        <v>7.0723880544613316</v>
      </c>
      <c r="HB23" s="389">
        <f t="shared" si="252"/>
        <v>8.4533929384877915</v>
      </c>
      <c r="HC23" s="389">
        <f t="shared" si="252"/>
        <v>3.5915567323599795</v>
      </c>
      <c r="HD23" s="389">
        <f t="shared" si="252"/>
        <v>1.5393161216745055</v>
      </c>
      <c r="HE23" s="389">
        <f t="shared" si="252"/>
        <v>10.094045471510338</v>
      </c>
      <c r="HF23" s="389">
        <f t="shared" si="252"/>
        <v>4.2270102935650256</v>
      </c>
      <c r="HG23" s="389">
        <f t="shared" si="252"/>
        <v>2.871713981794155</v>
      </c>
      <c r="HH23" s="389">
        <f t="shared" si="252"/>
        <v>10.813901189344577</v>
      </c>
      <c r="HI23" s="389">
        <f t="shared" si="252"/>
        <v>6.6729870284496284</v>
      </c>
      <c r="HJ23" s="389">
        <f t="shared" si="252"/>
        <v>2.4447741290848368</v>
      </c>
      <c r="HK23" s="389">
        <f t="shared" si="252"/>
        <v>6.9827617234580197</v>
      </c>
      <c r="HL23" s="346">
        <f t="shared" si="252"/>
        <v>6.7345630311847593</v>
      </c>
      <c r="HM23" s="389">
        <f t="shared" si="252"/>
        <v>4.4003961247987</v>
      </c>
      <c r="HN23" s="273">
        <f t="shared" si="252"/>
        <v>4.6547904009293539</v>
      </c>
      <c r="HO23" s="413">
        <f t="shared" si="252"/>
        <v>6.8852992946779601</v>
      </c>
      <c r="HP23" s="273">
        <f t="shared" si="252"/>
        <v>6.0271986589445214</v>
      </c>
      <c r="HQ23" s="413">
        <f t="shared" si="252"/>
        <v>-5.2458517985625397</v>
      </c>
      <c r="HR23" s="413">
        <f t="shared" si="252"/>
        <v>2.9516614020435705</v>
      </c>
      <c r="HS23" s="413">
        <f t="shared" si="252"/>
        <v>-0.91339858569458032</v>
      </c>
      <c r="HT23" s="413">
        <f t="shared" si="252"/>
        <v>2.3502353134452258</v>
      </c>
      <c r="HU23" s="413">
        <f t="shared" si="252"/>
        <v>-4.1307720761146527</v>
      </c>
      <c r="HV23" s="413">
        <f t="shared" si="252"/>
        <v>-5.2619391703073166</v>
      </c>
      <c r="HW23" s="413">
        <f t="shared" si="252"/>
        <v>5.3714173399171949</v>
      </c>
      <c r="HX23" s="413">
        <f t="shared" si="252"/>
        <v>-2.9862173186420038</v>
      </c>
      <c r="HY23" s="457">
        <f t="shared" si="252"/>
        <v>1.0588177111270802</v>
      </c>
      <c r="HZ23" s="413">
        <f>(956/1077-1)*100</f>
        <v>-11.234911792014856</v>
      </c>
      <c r="IA23" s="413">
        <f>(1162/1117-1)*100</f>
        <v>4.0286481647269445</v>
      </c>
      <c r="IB23" s="413">
        <f>(1257/1201-1)*100</f>
        <v>4.6627810158201388</v>
      </c>
      <c r="IC23" s="413">
        <f>(1158/1123-1)*100</f>
        <v>3.116651825467498</v>
      </c>
      <c r="ID23" s="413">
        <f>(1034/979-1)*100</f>
        <v>5.6179775280898792</v>
      </c>
      <c r="IE23" s="413">
        <f>(1209/1166-1)*100</f>
        <v>3.6878216123499064</v>
      </c>
      <c r="IF23" s="413">
        <f>(1158/1179-1)*100</f>
        <v>-1.7811704834605591</v>
      </c>
      <c r="IG23" s="413">
        <f>(1035/953-1)*100</f>
        <v>8.6044071353620133</v>
      </c>
      <c r="IH23" s="413">
        <f>(1258/1146-1)*100</f>
        <v>9.7731239092495592</v>
      </c>
      <c r="II23" s="413">
        <f>(1225/1137-1)*100</f>
        <v>7.739665787159189</v>
      </c>
      <c r="IJ23" s="413">
        <f>(1254/1137-1)*100</f>
        <v>10.290237467018471</v>
      </c>
      <c r="IK23" s="413">
        <f>(1151/1067-1)*100</f>
        <v>7.8725398313027162</v>
      </c>
      <c r="IL23" s="465">
        <f>(13855/13282-1)*100</f>
        <v>4.3141093208854064</v>
      </c>
      <c r="IM23" s="413">
        <f>(1115/956-1)*100</f>
        <v>16.631799163179917</v>
      </c>
      <c r="IN23" s="502">
        <f>(IN22/IA22-1)*100</f>
        <v>3.2714845851571583</v>
      </c>
      <c r="IO23" s="502">
        <f t="shared" ref="IO23:IX23" si="253">(IO22/IB22-1)*100</f>
        <v>7.4210168250772757</v>
      </c>
      <c r="IP23" s="502">
        <f t="shared" si="253"/>
        <v>4.7216551666941609</v>
      </c>
      <c r="IQ23" s="502">
        <f t="shared" si="253"/>
        <v>8.7863988472288046</v>
      </c>
      <c r="IR23" s="502">
        <f t="shared" si="253"/>
        <v>8.7544625312842683</v>
      </c>
      <c r="IS23" s="502">
        <f t="shared" si="253"/>
        <v>8.9960574668468851</v>
      </c>
      <c r="IT23" s="502">
        <f t="shared" si="253"/>
        <v>7.7258899235545409</v>
      </c>
      <c r="IU23" s="502">
        <f t="shared" si="253"/>
        <v>-3.6116965163727532</v>
      </c>
      <c r="IV23" s="502">
        <f t="shared" si="253"/>
        <v>-1.4183233231762071</v>
      </c>
      <c r="IW23" s="502">
        <f t="shared" si="253"/>
        <v>11.505512835641918</v>
      </c>
      <c r="IX23" s="502">
        <f t="shared" si="253"/>
        <v>10.267624718716339</v>
      </c>
      <c r="IY23" s="465">
        <f t="shared" ref="IY23:IZ23" si="254">(IY22/IL22-1)*100</f>
        <v>6.6798419057914504</v>
      </c>
      <c r="IZ23" s="502">
        <f t="shared" si="254"/>
        <v>-0.5984550445949921</v>
      </c>
      <c r="JA23" s="502">
        <f>(JA22/IN22-1)*100</f>
        <v>5.9627743371314823</v>
      </c>
      <c r="JB23" s="502">
        <f t="shared" ref="JB23:JE23" si="255">(JB22/IO22-1)*100</f>
        <v>1.7353089104671815</v>
      </c>
      <c r="JC23" s="502">
        <f t="shared" si="255"/>
        <v>2.72076911781447</v>
      </c>
      <c r="JD23" s="502">
        <f t="shared" si="255"/>
        <v>7.101265552714775</v>
      </c>
      <c r="JE23" s="502">
        <f t="shared" si="255"/>
        <v>0.29418298227141815</v>
      </c>
      <c r="JF23" s="502">
        <f>(JF22/1262-1)*100</f>
        <v>3.2488114104595844</v>
      </c>
      <c r="JG23" s="502">
        <f>(JG22/1115-1)*100</f>
        <v>3.6771300448430466</v>
      </c>
      <c r="JH23" s="502">
        <f>(JH22/1212-1)*100</f>
        <v>1.3201320132013139</v>
      </c>
      <c r="JI23" s="502">
        <f>(JI22/1207-1)*100</f>
        <v>14.664457332228675</v>
      </c>
      <c r="JJ23" s="502">
        <f>(JJ22/1398-1)*100</f>
        <v>-4.0772532188841248</v>
      </c>
      <c r="JK23" s="502">
        <f>(JK22/1269-1)*100</f>
        <v>-6.1465721040189099</v>
      </c>
      <c r="JL23" s="511">
        <f>(JL22/14781-1)*100</f>
        <v>2.3205466477234316</v>
      </c>
      <c r="JM23" s="502">
        <f>(JM22/1109-1)*100</f>
        <v>-1.2623985572587926</v>
      </c>
      <c r="JN23" s="566">
        <f>(JN22/1271-1)*100</f>
        <v>-7.4744295830055041</v>
      </c>
    </row>
    <row r="24" spans="1:274" ht="13.5" customHeight="1" x14ac:dyDescent="0.3">
      <c r="A24" s="542" t="s">
        <v>106</v>
      </c>
      <c r="B24" s="48" t="s">
        <v>108</v>
      </c>
      <c r="C24" s="218" t="s">
        <v>135</v>
      </c>
      <c r="D24" s="191" t="s">
        <v>137</v>
      </c>
      <c r="E24" s="218" t="s">
        <v>139</v>
      </c>
      <c r="F24" s="191" t="s">
        <v>141</v>
      </c>
      <c r="G24" s="218">
        <v>59176</v>
      </c>
      <c r="H24" s="191">
        <v>60312</v>
      </c>
      <c r="I24" s="218">
        <v>60099</v>
      </c>
      <c r="J24" s="191">
        <v>60424</v>
      </c>
      <c r="K24" s="218">
        <v>64390</v>
      </c>
      <c r="L24" s="191">
        <v>57704</v>
      </c>
      <c r="M24" s="219">
        <v>56291</v>
      </c>
      <c r="N24" s="191">
        <f>SUM(AA24:AL24)</f>
        <v>64397</v>
      </c>
      <c r="O24" s="220">
        <v>4347</v>
      </c>
      <c r="P24" s="221">
        <v>4147</v>
      </c>
      <c r="Q24" s="221">
        <v>4966</v>
      </c>
      <c r="R24" s="221">
        <v>4741</v>
      </c>
      <c r="S24" s="221">
        <v>4233</v>
      </c>
      <c r="T24" s="221">
        <v>4723</v>
      </c>
      <c r="U24" s="221">
        <v>5061</v>
      </c>
      <c r="V24" s="221">
        <v>4458</v>
      </c>
      <c r="W24" s="221">
        <v>4728</v>
      </c>
      <c r="X24" s="221">
        <v>5035</v>
      </c>
      <c r="Y24" s="221">
        <v>4966</v>
      </c>
      <c r="Z24" s="222">
        <v>4886</v>
      </c>
      <c r="AA24" s="191">
        <v>4903</v>
      </c>
      <c r="AB24" s="218">
        <v>5209</v>
      </c>
      <c r="AC24" s="191">
        <v>5792</v>
      </c>
      <c r="AD24" s="218">
        <v>5218</v>
      </c>
      <c r="AE24" s="191">
        <v>4903</v>
      </c>
      <c r="AF24" s="218">
        <v>5565</v>
      </c>
      <c r="AG24" s="191">
        <v>5530</v>
      </c>
      <c r="AH24" s="218">
        <v>4870</v>
      </c>
      <c r="AI24" s="191">
        <v>5492</v>
      </c>
      <c r="AJ24" s="218">
        <v>5691</v>
      </c>
      <c r="AK24" s="191">
        <v>5729</v>
      </c>
      <c r="AL24" s="218">
        <v>5495</v>
      </c>
      <c r="AM24" s="159">
        <f>SUM(AN24:AY24)</f>
        <v>63726</v>
      </c>
      <c r="AN24" s="192">
        <v>4860</v>
      </c>
      <c r="AO24" s="191">
        <v>5663</v>
      </c>
      <c r="AP24" s="193">
        <v>5952</v>
      </c>
      <c r="AQ24" s="194">
        <v>5913</v>
      </c>
      <c r="AR24" s="194">
        <v>4817</v>
      </c>
      <c r="AS24" s="194">
        <v>5211</v>
      </c>
      <c r="AT24" s="194">
        <v>5281</v>
      </c>
      <c r="AU24" s="194">
        <v>4866</v>
      </c>
      <c r="AV24" s="194">
        <v>5195</v>
      </c>
      <c r="AW24" s="194">
        <v>5400</v>
      </c>
      <c r="AX24" s="194">
        <v>5505</v>
      </c>
      <c r="AY24" s="195">
        <v>5063</v>
      </c>
      <c r="AZ24" s="168">
        <f>SUM(BA24:BL24)</f>
        <v>68626</v>
      </c>
      <c r="BA24" s="187">
        <v>5000</v>
      </c>
      <c r="BB24" s="189">
        <v>5483</v>
      </c>
      <c r="BC24" s="189">
        <v>5733</v>
      </c>
      <c r="BD24" s="189">
        <v>5247</v>
      </c>
      <c r="BE24" s="189">
        <v>5291</v>
      </c>
      <c r="BF24" s="189">
        <v>5760</v>
      </c>
      <c r="BG24" s="189">
        <v>6371</v>
      </c>
      <c r="BH24" s="189">
        <v>5266</v>
      </c>
      <c r="BI24" s="189">
        <v>6110</v>
      </c>
      <c r="BJ24" s="189">
        <v>6361</v>
      </c>
      <c r="BK24" s="189">
        <v>6102</v>
      </c>
      <c r="BL24" s="189">
        <v>5902</v>
      </c>
      <c r="BM24" s="190">
        <v>5671</v>
      </c>
      <c r="BN24" s="190">
        <v>5923</v>
      </c>
      <c r="BO24" s="190">
        <v>5992</v>
      </c>
      <c r="BP24" s="190">
        <v>5732</v>
      </c>
      <c r="BQ24" s="190">
        <v>5787</v>
      </c>
      <c r="BR24" s="190">
        <v>6162</v>
      </c>
      <c r="BS24" s="190">
        <v>6369</v>
      </c>
      <c r="BT24" s="190">
        <v>5260</v>
      </c>
      <c r="BU24" s="190">
        <v>6535</v>
      </c>
      <c r="BV24" s="190">
        <v>6641</v>
      </c>
      <c r="BW24" s="190">
        <v>6305</v>
      </c>
      <c r="BX24" s="190">
        <v>6367</v>
      </c>
      <c r="BY24" s="168">
        <f>SUM(BM24:BX24)</f>
        <v>72744</v>
      </c>
      <c r="BZ24" s="189">
        <v>6097</v>
      </c>
      <c r="CA24" s="189">
        <v>6594</v>
      </c>
      <c r="CB24" s="189">
        <v>7367</v>
      </c>
      <c r="CC24" s="189">
        <v>7041</v>
      </c>
      <c r="CD24" s="189">
        <v>6312</v>
      </c>
      <c r="CE24" s="235">
        <v>7390</v>
      </c>
      <c r="CF24" s="224">
        <v>7198</v>
      </c>
      <c r="CG24" s="242">
        <v>6013</v>
      </c>
      <c r="CH24" s="242">
        <v>7516</v>
      </c>
      <c r="CI24" s="242">
        <v>7048</v>
      </c>
      <c r="CJ24" s="200">
        <v>7471</v>
      </c>
      <c r="CK24" s="341">
        <v>6973</v>
      </c>
      <c r="CL24" s="337">
        <f>SUM(BZ24:CK24)</f>
        <v>83020</v>
      </c>
      <c r="CM24" s="275">
        <v>6423</v>
      </c>
      <c r="CN24" s="276">
        <v>7054</v>
      </c>
      <c r="CO24" s="276">
        <v>7883</v>
      </c>
      <c r="CP24" s="360">
        <v>7282</v>
      </c>
      <c r="CQ24" s="360">
        <v>6159</v>
      </c>
      <c r="CR24" s="360">
        <v>7580</v>
      </c>
      <c r="CS24" s="360">
        <v>7424</v>
      </c>
      <c r="CT24" s="360">
        <v>6428</v>
      </c>
      <c r="CU24" s="360">
        <v>7888</v>
      </c>
      <c r="CV24" s="360">
        <v>7746</v>
      </c>
      <c r="CW24" s="360">
        <v>7937</v>
      </c>
      <c r="CX24" s="352">
        <v>7218</v>
      </c>
      <c r="CY24" s="337">
        <f>SUM(CM24:CX24)</f>
        <v>87022</v>
      </c>
      <c r="CZ24" s="360">
        <v>6514</v>
      </c>
      <c r="DA24" s="360">
        <v>7332</v>
      </c>
      <c r="DB24" s="360">
        <v>7970</v>
      </c>
      <c r="DC24" s="360">
        <v>7258</v>
      </c>
      <c r="DD24" s="360">
        <v>6155</v>
      </c>
      <c r="DE24" s="360">
        <v>7211</v>
      </c>
      <c r="DF24" s="360">
        <v>7042</v>
      </c>
      <c r="DG24" s="360">
        <v>6716</v>
      </c>
      <c r="DH24" s="360">
        <v>7429</v>
      </c>
      <c r="DI24" s="360">
        <v>8065</v>
      </c>
      <c r="DJ24" s="360">
        <v>8194</v>
      </c>
      <c r="DK24" s="360">
        <v>8351</v>
      </c>
      <c r="DL24" s="337">
        <f>SUM(CZ24:DK24)</f>
        <v>88237</v>
      </c>
      <c r="DM24" s="360">
        <v>6942</v>
      </c>
      <c r="DN24" s="360">
        <v>7770</v>
      </c>
      <c r="DO24" s="360">
        <v>8752</v>
      </c>
      <c r="DP24" s="360">
        <v>7474</v>
      </c>
      <c r="DQ24" s="360">
        <v>7286</v>
      </c>
      <c r="DR24" s="360">
        <v>7432</v>
      </c>
      <c r="DS24" s="360">
        <v>7477</v>
      </c>
      <c r="DT24" s="360">
        <v>6448</v>
      </c>
      <c r="DU24" s="360">
        <v>7864</v>
      </c>
      <c r="DV24" s="360">
        <v>8075</v>
      </c>
      <c r="DW24" s="360">
        <v>7899</v>
      </c>
      <c r="DX24" s="276">
        <v>7463</v>
      </c>
      <c r="DY24" s="365">
        <f>SUM(DM24:DX24)</f>
        <v>90882</v>
      </c>
      <c r="DZ24" s="390">
        <v>6806</v>
      </c>
      <c r="EA24" s="390">
        <v>7180</v>
      </c>
      <c r="EB24" s="390">
        <v>7670</v>
      </c>
      <c r="EC24" s="390">
        <v>7737</v>
      </c>
      <c r="ED24" s="390">
        <v>7553</v>
      </c>
      <c r="EE24" s="390">
        <v>8052</v>
      </c>
      <c r="EF24" s="390">
        <v>8140</v>
      </c>
      <c r="EG24" s="390">
        <v>6407</v>
      </c>
      <c r="EH24" s="390">
        <v>7869</v>
      </c>
      <c r="EI24" s="390">
        <v>7518</v>
      </c>
      <c r="EJ24" s="390">
        <v>6210</v>
      </c>
      <c r="EK24" s="390">
        <v>5252</v>
      </c>
      <c r="EL24" s="365">
        <f>SUM(DZ24:EK24)</f>
        <v>86394</v>
      </c>
      <c r="EM24" s="390">
        <v>3987</v>
      </c>
      <c r="EN24" s="390">
        <v>3532</v>
      </c>
      <c r="EO24" s="390">
        <v>3989</v>
      </c>
      <c r="EP24" s="390">
        <v>4203</v>
      </c>
      <c r="EQ24" s="390">
        <v>3800</v>
      </c>
      <c r="ER24" s="390">
        <v>4736</v>
      </c>
      <c r="ES24" s="390">
        <v>4972</v>
      </c>
      <c r="ET24" s="390">
        <v>3805</v>
      </c>
      <c r="EU24" s="390">
        <v>4972</v>
      </c>
      <c r="EV24" s="390">
        <v>5037</v>
      </c>
      <c r="EW24" s="390">
        <v>5282</v>
      </c>
      <c r="EX24" s="390">
        <v>5049</v>
      </c>
      <c r="EY24" s="365">
        <f>SUM(EM24:EX24)</f>
        <v>53364</v>
      </c>
      <c r="EZ24" s="390">
        <v>4861</v>
      </c>
      <c r="FA24" s="390">
        <v>5267</v>
      </c>
      <c r="FB24" s="390">
        <v>5484</v>
      </c>
      <c r="FC24" s="390">
        <v>5023</v>
      </c>
      <c r="FD24" s="390">
        <v>4677</v>
      </c>
      <c r="FE24" s="390">
        <v>5735</v>
      </c>
      <c r="FF24" s="390">
        <v>5782</v>
      </c>
      <c r="FG24" s="390">
        <v>4853</v>
      </c>
      <c r="FH24" s="390">
        <v>5803.6</v>
      </c>
      <c r="FI24" s="390">
        <v>5376.9</v>
      </c>
      <c r="FJ24" s="390">
        <v>6183.7</v>
      </c>
      <c r="FK24" s="390">
        <v>6120.1</v>
      </c>
      <c r="FL24" s="365">
        <f>SUM(EZ24:FK24)</f>
        <v>65166.299999999996</v>
      </c>
      <c r="FM24" s="390">
        <v>6169.3</v>
      </c>
      <c r="FN24" s="390">
        <v>6416</v>
      </c>
      <c r="FO24" s="390">
        <v>5283</v>
      </c>
      <c r="FP24" s="390">
        <v>5211.3</v>
      </c>
      <c r="FQ24" s="390">
        <v>4962.2</v>
      </c>
      <c r="FR24" s="390">
        <v>6061.9</v>
      </c>
      <c r="FS24" s="390">
        <v>6153.3</v>
      </c>
      <c r="FT24" s="390">
        <v>5435.7</v>
      </c>
      <c r="FU24" s="390">
        <v>6296.1</v>
      </c>
      <c r="FV24" s="390">
        <v>6274.5</v>
      </c>
      <c r="FW24" s="390">
        <v>6080.7</v>
      </c>
      <c r="FX24" s="390">
        <v>5626.6</v>
      </c>
      <c r="FY24" s="365">
        <f>SUM(FM24:FX24)</f>
        <v>69970.599999999991</v>
      </c>
      <c r="FZ24" s="390">
        <v>5251</v>
      </c>
      <c r="GA24" s="390">
        <v>5873.8</v>
      </c>
      <c r="GB24" s="390">
        <v>5919.8</v>
      </c>
      <c r="GC24" s="390">
        <v>5544.6</v>
      </c>
      <c r="GD24" s="414">
        <v>5232.8999999999996</v>
      </c>
      <c r="GE24" s="414">
        <v>5626.7</v>
      </c>
      <c r="GF24" s="414">
        <v>5668.4</v>
      </c>
      <c r="GG24" s="414">
        <v>4607.6000000000004</v>
      </c>
      <c r="GH24" s="414">
        <v>5117.8</v>
      </c>
      <c r="GI24" s="414">
        <v>5160.3</v>
      </c>
      <c r="GJ24" s="414">
        <v>4930.1000000000004</v>
      </c>
      <c r="GK24" s="414">
        <v>4452.3999999999996</v>
      </c>
      <c r="GL24" s="365">
        <f>SUM(FZ24:GK24)</f>
        <v>63385.4</v>
      </c>
      <c r="GM24" s="390">
        <v>4413.8999999999996</v>
      </c>
      <c r="GN24" s="390">
        <v>5044.8</v>
      </c>
      <c r="GO24" s="390">
        <v>5128.2</v>
      </c>
      <c r="GP24" s="390">
        <v>5252.4</v>
      </c>
      <c r="GQ24" s="390">
        <v>5800.7</v>
      </c>
      <c r="GR24" s="390">
        <v>5645.4</v>
      </c>
      <c r="GS24" s="275">
        <v>6488.7</v>
      </c>
      <c r="GT24" s="12">
        <v>5078.1000000000004</v>
      </c>
      <c r="GU24" s="12">
        <v>6027.6</v>
      </c>
      <c r="GV24" s="12">
        <v>6320.6</v>
      </c>
      <c r="GW24" s="12">
        <v>6029.2</v>
      </c>
      <c r="GX24" s="12">
        <v>5898.4</v>
      </c>
      <c r="GY24" s="365">
        <f>SUM(GM24:GX24)</f>
        <v>67127.999999999985</v>
      </c>
      <c r="GZ24" s="12">
        <v>5887.7</v>
      </c>
      <c r="HA24" s="12">
        <v>6277.6</v>
      </c>
      <c r="HB24" s="12">
        <v>6410.5</v>
      </c>
      <c r="HC24" s="12">
        <v>6287</v>
      </c>
      <c r="HD24" s="12">
        <v>6171.8</v>
      </c>
      <c r="HE24" s="12">
        <v>6560.7</v>
      </c>
      <c r="HF24" s="12">
        <v>6725.4</v>
      </c>
      <c r="HG24" s="12">
        <v>5357.1</v>
      </c>
      <c r="HH24" s="12">
        <v>6601.6</v>
      </c>
      <c r="HI24" s="12">
        <v>6530.2</v>
      </c>
      <c r="HJ24" s="12">
        <v>6088.6</v>
      </c>
      <c r="HK24" s="12">
        <v>6137.7</v>
      </c>
      <c r="HL24" s="365">
        <f>SUM(GZ24:HK24)</f>
        <v>75035.899999999994</v>
      </c>
      <c r="HM24" s="12">
        <v>5767.8</v>
      </c>
      <c r="HN24" s="126">
        <v>6105.2</v>
      </c>
      <c r="HO24" s="306">
        <v>6375.8</v>
      </c>
      <c r="HP24" s="425">
        <v>6343.4</v>
      </c>
      <c r="HQ24" s="432">
        <v>5409.6</v>
      </c>
      <c r="HR24" s="432">
        <v>6619.8</v>
      </c>
      <c r="HS24" s="432">
        <v>6716.2</v>
      </c>
      <c r="HT24" s="432">
        <v>5143.3600000000006</v>
      </c>
      <c r="HU24" s="432">
        <v>6401.2</v>
      </c>
      <c r="HV24" s="432">
        <v>6400.9699999999993</v>
      </c>
      <c r="HW24" s="432">
        <v>6420.4</v>
      </c>
      <c r="HX24" s="432">
        <v>6019.4</v>
      </c>
      <c r="HY24" s="456">
        <f>SUM(HM24:HX24)</f>
        <v>73723.12999999999</v>
      </c>
      <c r="HZ24" s="432">
        <v>5537.6</v>
      </c>
      <c r="IA24" s="432">
        <v>6572.3</v>
      </c>
      <c r="IB24" s="432">
        <v>6659.4</v>
      </c>
      <c r="IC24" s="432">
        <v>6416.4</v>
      </c>
      <c r="ID24" s="432">
        <v>5539.9</v>
      </c>
      <c r="IE24" s="432">
        <v>6792.3600000000006</v>
      </c>
      <c r="IF24" s="432">
        <v>6637.5</v>
      </c>
      <c r="IG24" s="432">
        <v>5734.8</v>
      </c>
      <c r="IH24" s="432">
        <v>6823.27</v>
      </c>
      <c r="II24" s="432">
        <v>6481.17</v>
      </c>
      <c r="IJ24" s="432">
        <v>6883.3</v>
      </c>
      <c r="IK24" s="432">
        <f>'[1]３地区計'!N8</f>
        <v>6609.7</v>
      </c>
      <c r="IL24" s="466">
        <f>SUM(HZ24:IK24)</f>
        <v>76687.700000000012</v>
      </c>
      <c r="IM24" s="432">
        <v>5907</v>
      </c>
      <c r="IN24" s="503">
        <v>6786</v>
      </c>
      <c r="IO24" s="503">
        <v>7306</v>
      </c>
      <c r="IP24" s="503">
        <v>6783</v>
      </c>
      <c r="IQ24" s="503">
        <v>6147</v>
      </c>
      <c r="IR24" s="503">
        <v>7236</v>
      </c>
      <c r="IS24" s="503">
        <v>6861</v>
      </c>
      <c r="IT24" s="503">
        <v>6078</v>
      </c>
      <c r="IU24" s="503">
        <v>7024</v>
      </c>
      <c r="IV24" s="503">
        <v>7042</v>
      </c>
      <c r="IW24" s="517">
        <v>6986</v>
      </c>
      <c r="IX24" s="503">
        <v>6890</v>
      </c>
      <c r="IY24" s="466">
        <f>SUM(IM24:IX24)</f>
        <v>81046</v>
      </c>
      <c r="IZ24" s="503">
        <v>6055</v>
      </c>
      <c r="JA24" s="503">
        <v>6978</v>
      </c>
      <c r="JB24" s="503">
        <v>7386</v>
      </c>
      <c r="JC24" s="503">
        <v>7098</v>
      </c>
      <c r="JD24" s="503">
        <v>6539</v>
      </c>
      <c r="JE24" s="503">
        <v>7390</v>
      </c>
      <c r="JF24" s="503">
        <v>7539</v>
      </c>
      <c r="JG24" s="503">
        <v>6141</v>
      </c>
      <c r="JH24" s="503">
        <v>6839</v>
      </c>
      <c r="JI24" s="503">
        <v>7595</v>
      </c>
      <c r="JJ24" s="503">
        <v>7377</v>
      </c>
      <c r="JK24" s="503">
        <v>6777</v>
      </c>
      <c r="JL24" s="512">
        <f>SUM(IZ24:JK24)</f>
        <v>83714</v>
      </c>
      <c r="JM24" s="503">
        <v>5975</v>
      </c>
      <c r="JN24" s="503">
        <v>7331</v>
      </c>
    </row>
    <row r="25" spans="1:274" ht="13.5" customHeight="1" thickBot="1" x14ac:dyDescent="0.35">
      <c r="A25" s="543"/>
      <c r="B25" s="43" t="s">
        <v>102</v>
      </c>
      <c r="C25" s="173"/>
      <c r="D25" s="174"/>
      <c r="E25" s="174"/>
      <c r="F25" s="174"/>
      <c r="G25" s="174"/>
      <c r="H25" s="174">
        <f t="shared" ref="H25:N25" si="256">(H24/G24-1)*100</f>
        <v>1.9196971745302216</v>
      </c>
      <c r="I25" s="174">
        <f t="shared" si="256"/>
        <v>-0.35316354954237905</v>
      </c>
      <c r="J25" s="174">
        <f t="shared" si="256"/>
        <v>0.54077438892494722</v>
      </c>
      <c r="K25" s="174">
        <f t="shared" si="256"/>
        <v>6.5636171057857906</v>
      </c>
      <c r="L25" s="174">
        <f t="shared" si="256"/>
        <v>-10.383599937878552</v>
      </c>
      <c r="M25" s="174">
        <f t="shared" si="256"/>
        <v>-2.4487037293775105</v>
      </c>
      <c r="N25" s="174">
        <f t="shared" si="256"/>
        <v>14.400170542360225</v>
      </c>
      <c r="O25" s="175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7"/>
      <c r="AA25" s="174">
        <f t="shared" ref="AA25:AL25" si="257">(AA24/O24-1)*100</f>
        <v>12.790430181734536</v>
      </c>
      <c r="AB25" s="174">
        <f t="shared" si="257"/>
        <v>25.60887388473596</v>
      </c>
      <c r="AC25" s="174">
        <f t="shared" si="257"/>
        <v>16.633105114780513</v>
      </c>
      <c r="AD25" s="174">
        <f t="shared" si="257"/>
        <v>10.061168529846022</v>
      </c>
      <c r="AE25" s="174">
        <f t="shared" si="257"/>
        <v>15.828017954169615</v>
      </c>
      <c r="AF25" s="174">
        <f t="shared" si="257"/>
        <v>17.827651916154984</v>
      </c>
      <c r="AG25" s="174">
        <f t="shared" si="257"/>
        <v>9.2669432918395458</v>
      </c>
      <c r="AH25" s="174">
        <f t="shared" si="257"/>
        <v>9.2418124719605199</v>
      </c>
      <c r="AI25" s="174">
        <f t="shared" si="257"/>
        <v>16.159052453468693</v>
      </c>
      <c r="AJ25" s="174">
        <f t="shared" si="257"/>
        <v>13.028798411122144</v>
      </c>
      <c r="AK25" s="174">
        <f t="shared" si="257"/>
        <v>15.364478453483699</v>
      </c>
      <c r="AL25" s="178">
        <f t="shared" si="257"/>
        <v>12.464183381088834</v>
      </c>
      <c r="AM25" s="174">
        <f>(AM24/N24-1)*100</f>
        <v>-1.0419740050002346</v>
      </c>
      <c r="AN25" s="179">
        <f t="shared" ref="AN25:AY25" si="258">(AN24/AA24-1)*100</f>
        <v>-0.87701407301652434</v>
      </c>
      <c r="AO25" s="174">
        <f t="shared" si="258"/>
        <v>8.7156843923977831</v>
      </c>
      <c r="AP25" s="178">
        <f t="shared" si="258"/>
        <v>2.7624309392265234</v>
      </c>
      <c r="AQ25" s="174">
        <f t="shared" si="258"/>
        <v>13.319279417401297</v>
      </c>
      <c r="AR25" s="174">
        <f t="shared" si="258"/>
        <v>-1.7540281460330376</v>
      </c>
      <c r="AS25" s="180">
        <f t="shared" si="258"/>
        <v>-6.3611859838274887</v>
      </c>
      <c r="AT25" s="174">
        <f t="shared" si="258"/>
        <v>-4.5027124773960203</v>
      </c>
      <c r="AU25" s="180">
        <f t="shared" si="258"/>
        <v>-8.2135523613957595E-2</v>
      </c>
      <c r="AV25" s="174">
        <f t="shared" si="258"/>
        <v>-5.4078659868900258</v>
      </c>
      <c r="AW25" s="180">
        <f t="shared" si="258"/>
        <v>-5.1133368476541925</v>
      </c>
      <c r="AX25" s="174">
        <f t="shared" si="258"/>
        <v>-3.9099319252923759</v>
      </c>
      <c r="AY25" s="181">
        <f t="shared" si="258"/>
        <v>-7.8616924476797134</v>
      </c>
      <c r="AZ25" s="182">
        <f t="shared" ref="AZ25:BL25" si="259">(AZ24/AM24-1)*100</f>
        <v>7.6891692558767266</v>
      </c>
      <c r="BA25" s="225">
        <f t="shared" si="259"/>
        <v>2.8806584362139898</v>
      </c>
      <c r="BB25" s="184">
        <f t="shared" si="259"/>
        <v>-3.1785272823591781</v>
      </c>
      <c r="BC25" s="184">
        <f t="shared" si="259"/>
        <v>-3.6794354838709631</v>
      </c>
      <c r="BD25" s="184">
        <f t="shared" si="259"/>
        <v>-11.263318112633181</v>
      </c>
      <c r="BE25" s="184">
        <f t="shared" si="259"/>
        <v>9.8401494706248585</v>
      </c>
      <c r="BF25" s="184">
        <f t="shared" si="259"/>
        <v>10.535405872193436</v>
      </c>
      <c r="BG25" s="184">
        <f t="shared" si="259"/>
        <v>20.640030297292178</v>
      </c>
      <c r="BH25" s="184">
        <f t="shared" si="259"/>
        <v>8.2203041512535879</v>
      </c>
      <c r="BI25" s="184">
        <f t="shared" si="259"/>
        <v>17.6130895091434</v>
      </c>
      <c r="BJ25" s="184">
        <f t="shared" si="259"/>
        <v>17.796296296296287</v>
      </c>
      <c r="BK25" s="184">
        <f t="shared" si="259"/>
        <v>10.844686648501355</v>
      </c>
      <c r="BL25" s="184">
        <f t="shared" si="259"/>
        <v>16.571202844163537</v>
      </c>
      <c r="BM25" s="185">
        <f t="shared" ref="BM25:BX25" si="260">(BM24/BA24-1)*100</f>
        <v>13.420000000000009</v>
      </c>
      <c r="BN25" s="185">
        <f t="shared" si="260"/>
        <v>8.0248039394491997</v>
      </c>
      <c r="BO25" s="185">
        <f t="shared" si="260"/>
        <v>4.5177045177045239</v>
      </c>
      <c r="BP25" s="185">
        <f t="shared" si="260"/>
        <v>9.2433771679054644</v>
      </c>
      <c r="BQ25" s="185">
        <f t="shared" si="260"/>
        <v>9.3744093744093639</v>
      </c>
      <c r="BR25" s="185">
        <f t="shared" si="260"/>
        <v>6.9791666666666696</v>
      </c>
      <c r="BS25" s="185">
        <f t="shared" si="260"/>
        <v>-3.1392246115213851E-2</v>
      </c>
      <c r="BT25" s="185">
        <f t="shared" si="260"/>
        <v>-0.11393847322446193</v>
      </c>
      <c r="BU25" s="185">
        <f t="shared" si="260"/>
        <v>6.9558101472995126</v>
      </c>
      <c r="BV25" s="185">
        <f t="shared" si="260"/>
        <v>4.4018236126395216</v>
      </c>
      <c r="BW25" s="185">
        <f t="shared" si="260"/>
        <v>3.3267781055391632</v>
      </c>
      <c r="BX25" s="185">
        <f t="shared" si="260"/>
        <v>7.8786851914605327</v>
      </c>
      <c r="BY25" s="182">
        <f>(BY24/AZ24-1)*100</f>
        <v>6.0006411564130113</v>
      </c>
      <c r="BZ25" s="184">
        <f t="shared" ref="BZ25:CK25" si="261">(BZ24/BM24-1)*100</f>
        <v>7.5119026626697227</v>
      </c>
      <c r="CA25" s="184">
        <f t="shared" si="261"/>
        <v>11.328718554786432</v>
      </c>
      <c r="CB25" s="184">
        <f t="shared" si="261"/>
        <v>22.947263017356477</v>
      </c>
      <c r="CC25" s="184">
        <f t="shared" si="261"/>
        <v>22.836706210746694</v>
      </c>
      <c r="CD25" s="184">
        <f t="shared" si="261"/>
        <v>9.072058061171596</v>
      </c>
      <c r="CE25" s="186">
        <f t="shared" si="261"/>
        <v>19.928594612138916</v>
      </c>
      <c r="CF25" s="186">
        <f t="shared" si="261"/>
        <v>13.016172083529586</v>
      </c>
      <c r="CG25" s="243">
        <f t="shared" si="261"/>
        <v>14.315589353612168</v>
      </c>
      <c r="CH25" s="243">
        <f t="shared" si="261"/>
        <v>15.011476664116309</v>
      </c>
      <c r="CI25" s="243">
        <f t="shared" si="261"/>
        <v>6.1285950911007303</v>
      </c>
      <c r="CJ25" s="243">
        <f t="shared" si="261"/>
        <v>18.493259318001588</v>
      </c>
      <c r="CK25" s="344">
        <f t="shared" si="261"/>
        <v>9.5178262918171885</v>
      </c>
      <c r="CL25" s="346">
        <f t="shared" ref="CL25:EL25" si="262">(CL24/BY24-1)*100</f>
        <v>14.126250962278686</v>
      </c>
      <c r="CM25" s="281">
        <f t="shared" si="262"/>
        <v>5.3468919140560844</v>
      </c>
      <c r="CN25" s="282">
        <f t="shared" si="262"/>
        <v>6.9760388231725701</v>
      </c>
      <c r="CO25" s="282">
        <f t="shared" si="262"/>
        <v>7.0042079543912061</v>
      </c>
      <c r="CP25" s="363">
        <f t="shared" si="262"/>
        <v>3.4228092600482984</v>
      </c>
      <c r="CQ25" s="363">
        <f t="shared" si="262"/>
        <v>-2.4239543726235713</v>
      </c>
      <c r="CR25" s="363">
        <f t="shared" si="262"/>
        <v>2.5710419485791558</v>
      </c>
      <c r="CS25" s="363">
        <f t="shared" si="262"/>
        <v>3.1397610447346569</v>
      </c>
      <c r="CT25" s="363">
        <f t="shared" si="262"/>
        <v>6.9017129552636058</v>
      </c>
      <c r="CU25" s="363">
        <f t="shared" si="262"/>
        <v>4.9494411921234605</v>
      </c>
      <c r="CV25" s="363">
        <f t="shared" si="262"/>
        <v>9.9035187287173763</v>
      </c>
      <c r="CW25" s="363">
        <f t="shared" si="262"/>
        <v>6.237451479052325</v>
      </c>
      <c r="CX25" s="355">
        <f t="shared" si="262"/>
        <v>3.5135522730532109</v>
      </c>
      <c r="CY25" s="346">
        <f t="shared" si="262"/>
        <v>4.8205251746567201</v>
      </c>
      <c r="CZ25" s="363">
        <f t="shared" si="262"/>
        <v>1.4167834345321539</v>
      </c>
      <c r="DA25" s="363">
        <f t="shared" si="262"/>
        <v>3.9410263680181412</v>
      </c>
      <c r="DB25" s="363">
        <f t="shared" si="262"/>
        <v>1.1036407459089181</v>
      </c>
      <c r="DC25" s="363">
        <f t="shared" si="262"/>
        <v>-0.32957978577313751</v>
      </c>
      <c r="DD25" s="363">
        <f t="shared" si="262"/>
        <v>-6.4945608053257331E-2</v>
      </c>
      <c r="DE25" s="363">
        <f t="shared" si="262"/>
        <v>-4.8680738786279658</v>
      </c>
      <c r="DF25" s="363">
        <f t="shared" si="262"/>
        <v>-5.1454741379310391</v>
      </c>
      <c r="DG25" s="363">
        <f t="shared" si="262"/>
        <v>4.4803982576228973</v>
      </c>
      <c r="DH25" s="363">
        <f t="shared" si="262"/>
        <v>-5.8189655172413808</v>
      </c>
      <c r="DI25" s="363">
        <f t="shared" si="262"/>
        <v>4.1182545830105832</v>
      </c>
      <c r="DJ25" s="363">
        <f t="shared" si="262"/>
        <v>3.237999244046863</v>
      </c>
      <c r="DK25" s="363">
        <f t="shared" si="262"/>
        <v>15.696868938764208</v>
      </c>
      <c r="DL25" s="346">
        <f t="shared" si="262"/>
        <v>1.3961986624072109</v>
      </c>
      <c r="DM25" s="363">
        <f t="shared" si="262"/>
        <v>6.570463616825295</v>
      </c>
      <c r="DN25" s="363">
        <f t="shared" si="262"/>
        <v>5.9738134206219318</v>
      </c>
      <c r="DO25" s="363">
        <f t="shared" si="262"/>
        <v>9.8117942283563409</v>
      </c>
      <c r="DP25" s="363">
        <f t="shared" si="262"/>
        <v>2.97602645356847</v>
      </c>
      <c r="DQ25" s="363">
        <f t="shared" si="262"/>
        <v>18.375304630381795</v>
      </c>
      <c r="DR25" s="363">
        <f t="shared" si="262"/>
        <v>3.064762168908608</v>
      </c>
      <c r="DS25" s="363">
        <f t="shared" si="262"/>
        <v>6.1772223800056869</v>
      </c>
      <c r="DT25" s="363">
        <f t="shared" si="262"/>
        <v>-3.9904705181655786</v>
      </c>
      <c r="DU25" s="363">
        <f t="shared" si="262"/>
        <v>5.855431417418222</v>
      </c>
      <c r="DV25" s="363">
        <f t="shared" si="262"/>
        <v>0.12399256044637319</v>
      </c>
      <c r="DW25" s="363">
        <f t="shared" si="262"/>
        <v>-3.6001952648279212</v>
      </c>
      <c r="DX25" s="282">
        <f t="shared" si="262"/>
        <v>-10.633457071009456</v>
      </c>
      <c r="DY25" s="346">
        <f t="shared" si="262"/>
        <v>2.9976087128982254</v>
      </c>
      <c r="DZ25" s="393">
        <f t="shared" si="262"/>
        <v>-1.9590895995390323</v>
      </c>
      <c r="EA25" s="393">
        <f t="shared" si="262"/>
        <v>-7.5933075933075962</v>
      </c>
      <c r="EB25" s="393">
        <f t="shared" si="262"/>
        <v>-12.362888482632538</v>
      </c>
      <c r="EC25" s="393">
        <f t="shared" si="262"/>
        <v>3.518865400053528</v>
      </c>
      <c r="ED25" s="393">
        <f t="shared" si="262"/>
        <v>3.664562174032393</v>
      </c>
      <c r="EE25" s="393">
        <f t="shared" si="262"/>
        <v>8.3423035522066655</v>
      </c>
      <c r="EF25" s="393">
        <f t="shared" si="262"/>
        <v>8.8671927243546769</v>
      </c>
      <c r="EG25" s="393">
        <f t="shared" si="262"/>
        <v>-0.63585607940446209</v>
      </c>
      <c r="EH25" s="393">
        <f t="shared" si="262"/>
        <v>6.3580874872837256E-2</v>
      </c>
      <c r="EI25" s="393">
        <f t="shared" si="262"/>
        <v>-6.8978328173374575</v>
      </c>
      <c r="EJ25" s="393">
        <f t="shared" si="262"/>
        <v>-21.38245347512343</v>
      </c>
      <c r="EK25" s="393">
        <f t="shared" si="262"/>
        <v>-29.626155701460544</v>
      </c>
      <c r="EL25" s="346">
        <f t="shared" si="262"/>
        <v>-4.9382716049382713</v>
      </c>
      <c r="EM25" s="393">
        <f t="shared" ref="EM25:EX25" si="263">(EM24/DZ24-1)*100</f>
        <v>-41.419335880105791</v>
      </c>
      <c r="EN25" s="393">
        <f t="shared" si="263"/>
        <v>-50.807799442896929</v>
      </c>
      <c r="EO25" s="393">
        <f t="shared" si="263"/>
        <v>-47.992177314211219</v>
      </c>
      <c r="EP25" s="393">
        <f t="shared" si="263"/>
        <v>-45.676618844513371</v>
      </c>
      <c r="EQ25" s="393">
        <f t="shared" si="263"/>
        <v>-49.688865351515958</v>
      </c>
      <c r="ER25" s="393">
        <f t="shared" si="263"/>
        <v>-41.182314952806756</v>
      </c>
      <c r="ES25" s="393">
        <f t="shared" si="263"/>
        <v>-38.918918918918919</v>
      </c>
      <c r="ET25" s="393">
        <f t="shared" si="263"/>
        <v>-40.611830810051508</v>
      </c>
      <c r="EU25" s="393">
        <f t="shared" si="263"/>
        <v>-36.815351378828311</v>
      </c>
      <c r="EV25" s="393">
        <f t="shared" si="263"/>
        <v>-33.000798084596973</v>
      </c>
      <c r="EW25" s="393">
        <f t="shared" si="263"/>
        <v>-14.943639291465383</v>
      </c>
      <c r="EX25" s="393">
        <f t="shared" si="263"/>
        <v>-3.8651942117288618</v>
      </c>
      <c r="EY25" s="346">
        <f t="shared" ref="EY25:FX25" si="264">(EY24/EL24-1)*100</f>
        <v>-38.231821654281553</v>
      </c>
      <c r="EZ25" s="393">
        <f t="shared" si="264"/>
        <v>21.921244043140199</v>
      </c>
      <c r="FA25" s="393">
        <f t="shared" si="264"/>
        <v>49.122310305775763</v>
      </c>
      <c r="FB25" s="393">
        <f t="shared" si="264"/>
        <v>37.478064677864118</v>
      </c>
      <c r="FC25" s="393">
        <f t="shared" si="264"/>
        <v>19.509873899595533</v>
      </c>
      <c r="FD25" s="393">
        <f t="shared" si="264"/>
        <v>23.078947368421044</v>
      </c>
      <c r="FE25" s="393">
        <f t="shared" si="264"/>
        <v>21.09375</v>
      </c>
      <c r="FF25" s="393">
        <f t="shared" si="264"/>
        <v>16.291230893000797</v>
      </c>
      <c r="FG25" s="393">
        <f t="shared" si="264"/>
        <v>27.54270696452037</v>
      </c>
      <c r="FH25" s="393">
        <f t="shared" si="264"/>
        <v>16.725663716814164</v>
      </c>
      <c r="FI25" s="393">
        <f t="shared" si="264"/>
        <v>6.7480643240023674</v>
      </c>
      <c r="FJ25" s="393">
        <f t="shared" si="264"/>
        <v>17.071185157137435</v>
      </c>
      <c r="FK25" s="393">
        <f t="shared" si="264"/>
        <v>21.214101802337094</v>
      </c>
      <c r="FL25" s="346">
        <f t="shared" si="264"/>
        <v>22.116595457611865</v>
      </c>
      <c r="FM25" s="393">
        <f t="shared" si="264"/>
        <v>26.914215182061319</v>
      </c>
      <c r="FN25" s="393">
        <f t="shared" si="264"/>
        <v>21.815074995253458</v>
      </c>
      <c r="FO25" s="393">
        <f t="shared" si="264"/>
        <v>-3.665207877461707</v>
      </c>
      <c r="FP25" s="393">
        <f t="shared" si="264"/>
        <v>3.7487557236711266</v>
      </c>
      <c r="FQ25" s="393">
        <f t="shared" si="264"/>
        <v>6.0979260209536035</v>
      </c>
      <c r="FR25" s="393">
        <f t="shared" si="264"/>
        <v>5.7000871839581357</v>
      </c>
      <c r="FS25" s="393">
        <f t="shared" si="264"/>
        <v>6.4216534071255715</v>
      </c>
      <c r="FT25" s="393">
        <f t="shared" si="264"/>
        <v>12.007005975685136</v>
      </c>
      <c r="FU25" s="393">
        <f t="shared" si="264"/>
        <v>8.4861120683713551</v>
      </c>
      <c r="FV25" s="393">
        <f t="shared" si="264"/>
        <v>16.693633878256996</v>
      </c>
      <c r="FW25" s="393">
        <f t="shared" si="264"/>
        <v>-1.665669421220306</v>
      </c>
      <c r="FX25" s="393">
        <f t="shared" si="264"/>
        <v>-8.0635937321285596</v>
      </c>
      <c r="FY25" s="346">
        <f t="shared" ref="FY25:HY25" si="265">(FY24/FL24-1)*100</f>
        <v>7.3723688470881399</v>
      </c>
      <c r="FZ25" s="393">
        <f t="shared" si="265"/>
        <v>-14.884995056165206</v>
      </c>
      <c r="GA25" s="393">
        <f t="shared" si="265"/>
        <v>-8.4507481296758122</v>
      </c>
      <c r="GB25" s="393">
        <f t="shared" si="265"/>
        <v>12.053757334847637</v>
      </c>
      <c r="GC25" s="393">
        <f t="shared" si="265"/>
        <v>6.3957169995970231</v>
      </c>
      <c r="GD25" s="417">
        <f t="shared" si="265"/>
        <v>5.4552416266978376</v>
      </c>
      <c r="GE25" s="417">
        <f t="shared" si="265"/>
        <v>-7.1792672264471502</v>
      </c>
      <c r="GF25" s="417">
        <f t="shared" si="265"/>
        <v>-7.8803243787886279</v>
      </c>
      <c r="GG25" s="417">
        <f t="shared" si="265"/>
        <v>-15.234468421730407</v>
      </c>
      <c r="GH25" s="417">
        <f t="shared" si="265"/>
        <v>-18.71475993075078</v>
      </c>
      <c r="GI25" s="417">
        <f t="shared" si="265"/>
        <v>-17.757590246234756</v>
      </c>
      <c r="GJ25" s="417">
        <f t="shared" si="265"/>
        <v>-18.922163566694618</v>
      </c>
      <c r="GK25" s="417">
        <f t="shared" si="265"/>
        <v>-20.868730672164371</v>
      </c>
      <c r="GL25" s="346">
        <f t="shared" si="265"/>
        <v>-9.4113813515962264</v>
      </c>
      <c r="GM25" s="393">
        <f t="shared" si="265"/>
        <v>-15.941725385640837</v>
      </c>
      <c r="GN25" s="393">
        <f t="shared" si="265"/>
        <v>-14.113521059620693</v>
      </c>
      <c r="GO25" s="393">
        <f t="shared" si="265"/>
        <v>-13.372073380857463</v>
      </c>
      <c r="GP25" s="393">
        <f t="shared" si="265"/>
        <v>-5.269992425062231</v>
      </c>
      <c r="GQ25" s="393">
        <f t="shared" si="265"/>
        <v>10.850579984329922</v>
      </c>
      <c r="GR25" s="393">
        <f t="shared" si="265"/>
        <v>0.3323440027014124</v>
      </c>
      <c r="GS25" s="281">
        <f t="shared" si="265"/>
        <v>14.471455789993648</v>
      </c>
      <c r="GT25" s="393">
        <f t="shared" si="265"/>
        <v>10.211389877593536</v>
      </c>
      <c r="GU25" s="393">
        <f t="shared" si="265"/>
        <v>17.777169877681807</v>
      </c>
      <c r="GV25" s="393">
        <f t="shared" si="265"/>
        <v>22.48512683371122</v>
      </c>
      <c r="GW25" s="393">
        <f t="shared" si="265"/>
        <v>22.293665442891619</v>
      </c>
      <c r="GX25" s="393">
        <f t="shared" si="265"/>
        <v>32.476866409127659</v>
      </c>
      <c r="GY25" s="346">
        <f t="shared" si="265"/>
        <v>5.9045142887794055</v>
      </c>
      <c r="GZ25" s="393">
        <f t="shared" si="265"/>
        <v>33.389972586601438</v>
      </c>
      <c r="HA25" s="393">
        <f t="shared" si="265"/>
        <v>24.437044084998426</v>
      </c>
      <c r="HB25" s="393">
        <f t="shared" si="265"/>
        <v>25.004875004875004</v>
      </c>
      <c r="HC25" s="393">
        <f t="shared" si="265"/>
        <v>19.69766202117129</v>
      </c>
      <c r="HD25" s="393">
        <f t="shared" si="265"/>
        <v>6.397503749547484</v>
      </c>
      <c r="HE25" s="393">
        <f t="shared" si="265"/>
        <v>16.213200127537462</v>
      </c>
      <c r="HF25" s="393">
        <f t="shared" si="265"/>
        <v>3.6478801608951006</v>
      </c>
      <c r="HG25" s="393">
        <f t="shared" si="265"/>
        <v>5.4941808944290127</v>
      </c>
      <c r="HH25" s="393">
        <f t="shared" si="265"/>
        <v>9.5228615037494144</v>
      </c>
      <c r="HI25" s="393">
        <f t="shared" si="265"/>
        <v>3.3161408727019559</v>
      </c>
      <c r="HJ25" s="393">
        <f t="shared" si="265"/>
        <v>0.98520533404100608</v>
      </c>
      <c r="HK25" s="393">
        <f t="shared" si="265"/>
        <v>4.0570324155703386</v>
      </c>
      <c r="HL25" s="346">
        <f t="shared" si="265"/>
        <v>11.780330115600069</v>
      </c>
      <c r="HM25" s="393">
        <f t="shared" si="265"/>
        <v>-2.0364488679790016</v>
      </c>
      <c r="HN25" s="281">
        <f t="shared" si="265"/>
        <v>-2.7462724608130595</v>
      </c>
      <c r="HO25" s="411">
        <f t="shared" si="265"/>
        <v>-0.54129943062163344</v>
      </c>
      <c r="HP25" s="269">
        <f t="shared" si="265"/>
        <v>0.89708923174804944</v>
      </c>
      <c r="HQ25" s="411">
        <f t="shared" si="265"/>
        <v>-12.349719692796269</v>
      </c>
      <c r="HR25" s="411">
        <f t="shared" si="265"/>
        <v>0.9008185102199473</v>
      </c>
      <c r="HS25" s="411">
        <f t="shared" si="265"/>
        <v>-0.13679483748177956</v>
      </c>
      <c r="HT25" s="411">
        <f t="shared" si="265"/>
        <v>-3.9898452520953476</v>
      </c>
      <c r="HU25" s="411">
        <f t="shared" si="265"/>
        <v>-3.0356277266117337</v>
      </c>
      <c r="HV25" s="411">
        <f t="shared" si="265"/>
        <v>-1.9789592968056158</v>
      </c>
      <c r="HW25" s="411">
        <f t="shared" si="265"/>
        <v>5.4495286272706167</v>
      </c>
      <c r="HX25" s="411">
        <f t="shared" si="265"/>
        <v>-1.9274320999723038</v>
      </c>
      <c r="HY25" s="457">
        <f t="shared" si="265"/>
        <v>-1.7495225618670562</v>
      </c>
      <c r="HZ25" s="411">
        <f t="shared" ref="HZ25" si="266">(HZ24/HM24-1)*100</f>
        <v>-3.9911231318700335</v>
      </c>
      <c r="IA25" s="411">
        <f t="shared" ref="IA25" si="267">(IA24/HN24-1)*100</f>
        <v>7.6508550088449256</v>
      </c>
      <c r="IB25" s="411">
        <f t="shared" ref="IB25" si="268">(IB24/HO24-1)*100</f>
        <v>4.4480692618965367</v>
      </c>
      <c r="IC25" s="411">
        <f t="shared" ref="IC25" si="269">(IC24/HP24-1)*100</f>
        <v>1.1508024088028534</v>
      </c>
      <c r="ID25" s="411">
        <f t="shared" ref="ID25" si="270">(ID24/HQ24-1)*100</f>
        <v>2.4086808636498036</v>
      </c>
      <c r="IE25" s="411">
        <f t="shared" ref="IE25" si="271">(IE24/HR24-1)*100</f>
        <v>2.606725278709332</v>
      </c>
      <c r="IF25" s="411">
        <f t="shared" ref="IF25" si="272">(IF24/HS24-1)*100</f>
        <v>-1.1717935737470597</v>
      </c>
      <c r="IG25" s="411">
        <f t="shared" ref="IG25" si="273">(IG24/HT24-1)*100</f>
        <v>11.499097865986418</v>
      </c>
      <c r="IH25" s="411">
        <f t="shared" ref="IH25" si="274">(IH24/HU24-1)*100</f>
        <v>6.5936074486034002</v>
      </c>
      <c r="II25" s="411">
        <f t="shared" ref="II25" si="275">(II24/HV24-1)*100</f>
        <v>1.2529351020236001</v>
      </c>
      <c r="IJ25" s="411">
        <f t="shared" ref="IJ25" si="276">(IJ24/HW24-1)*100</f>
        <v>7.2098311631674239</v>
      </c>
      <c r="IK25" s="411">
        <f t="shared" ref="IK25" si="277">(IK24/HX24-1)*100</f>
        <v>9.8066252450410332</v>
      </c>
      <c r="IL25" s="464">
        <f t="shared" ref="IL25" si="278">(IL24/HY24-1)*100</f>
        <v>4.0212210197803966</v>
      </c>
      <c r="IM25" s="411">
        <f>(IM24/HZ24-1)*100</f>
        <v>6.6707598959838021</v>
      </c>
      <c r="IN25" s="501">
        <f t="shared" ref="IN25:IX27" si="279">(IN24/IA24-1)*100</f>
        <v>3.2515253412047418</v>
      </c>
      <c r="IO25" s="501">
        <f t="shared" si="279"/>
        <v>9.7095834459560937</v>
      </c>
      <c r="IP25" s="501">
        <f t="shared" si="279"/>
        <v>5.7134841967458438</v>
      </c>
      <c r="IQ25" s="501">
        <f t="shared" si="279"/>
        <v>10.958681564649186</v>
      </c>
      <c r="IR25" s="501">
        <f t="shared" si="279"/>
        <v>6.5314559298977004</v>
      </c>
      <c r="IS25" s="501">
        <f t="shared" si="279"/>
        <v>3.3672316384180778</v>
      </c>
      <c r="IT25" s="501">
        <f t="shared" si="279"/>
        <v>5.9845155890353663</v>
      </c>
      <c r="IU25" s="501">
        <f t="shared" si="279"/>
        <v>2.9418445994369158</v>
      </c>
      <c r="IV25" s="501">
        <f t="shared" si="279"/>
        <v>8.6532215633905665</v>
      </c>
      <c r="IW25" s="501">
        <f t="shared" si="279"/>
        <v>1.492016910493521</v>
      </c>
      <c r="IX25" s="501">
        <f t="shared" si="279"/>
        <v>4.2407370985067416</v>
      </c>
      <c r="IY25" s="464">
        <f t="shared" ref="IY25" si="280">(IY24/IL24-1)*100</f>
        <v>5.6831799623668244</v>
      </c>
      <c r="IZ25" s="501">
        <f>(IZ24/IM24-1)*100</f>
        <v>2.5055019468427364</v>
      </c>
      <c r="JA25" s="501">
        <f t="shared" ref="JA25:JG25" si="281">(JA24/IN24-1)*100</f>
        <v>2.8293545534924913</v>
      </c>
      <c r="JB25" s="501">
        <f t="shared" si="281"/>
        <v>1.09499041883383</v>
      </c>
      <c r="JC25" s="501">
        <f t="shared" si="281"/>
        <v>4.6439628482972228</v>
      </c>
      <c r="JD25" s="501">
        <f t="shared" si="281"/>
        <v>6.3770945176508942</v>
      </c>
      <c r="JE25" s="501">
        <f t="shared" si="281"/>
        <v>2.1282476506357062</v>
      </c>
      <c r="JF25" s="501">
        <f t="shared" si="281"/>
        <v>9.881941407958017</v>
      </c>
      <c r="JG25" s="501">
        <f t="shared" si="281"/>
        <v>1.036525172754188</v>
      </c>
      <c r="JH25" s="501">
        <f>(JH24/7024-1)*100</f>
        <v>-2.6338268792710728</v>
      </c>
      <c r="JI25" s="501">
        <f t="shared" ref="JI25:JK25" si="282">(JI24/IV24-1)*100</f>
        <v>7.8528827037773308</v>
      </c>
      <c r="JJ25" s="501">
        <f t="shared" si="282"/>
        <v>5.5969081019181299</v>
      </c>
      <c r="JK25" s="501">
        <f t="shared" si="282"/>
        <v>-1.6400580551523936</v>
      </c>
      <c r="JL25" s="523">
        <f t="shared" ref="JL25" si="283">(JL24/IY24-1)*100</f>
        <v>3.291957653678157</v>
      </c>
      <c r="JM25" s="501">
        <f t="shared" si="117"/>
        <v>-1.3212221304706895</v>
      </c>
      <c r="JN25" s="564">
        <f t="shared" si="117"/>
        <v>5.0587560905703599</v>
      </c>
    </row>
    <row r="26" spans="1:274" ht="13.5" customHeight="1" x14ac:dyDescent="0.3">
      <c r="A26" s="544"/>
      <c r="B26" s="45" t="s">
        <v>103</v>
      </c>
      <c r="C26" s="244" t="s">
        <v>136</v>
      </c>
      <c r="D26" s="245" t="s">
        <v>138</v>
      </c>
      <c r="E26" s="246" t="s">
        <v>140</v>
      </c>
      <c r="F26" s="245" t="s">
        <v>142</v>
      </c>
      <c r="G26" s="189">
        <v>10376</v>
      </c>
      <c r="H26" s="188">
        <v>10061</v>
      </c>
      <c r="I26" s="189">
        <v>10054</v>
      </c>
      <c r="J26" s="188">
        <v>10120</v>
      </c>
      <c r="K26" s="189">
        <v>10928</v>
      </c>
      <c r="L26" s="188">
        <v>9773</v>
      </c>
      <c r="M26" s="190">
        <v>9373</v>
      </c>
      <c r="N26" s="191">
        <f>SUM(AA26:AL26)</f>
        <v>10473</v>
      </c>
      <c r="O26" s="189">
        <v>734</v>
      </c>
      <c r="P26" s="188">
        <v>703</v>
      </c>
      <c r="Q26" s="188">
        <v>823</v>
      </c>
      <c r="R26" s="188">
        <v>817</v>
      </c>
      <c r="S26" s="188">
        <v>738</v>
      </c>
      <c r="T26" s="188">
        <v>790</v>
      </c>
      <c r="U26" s="188">
        <v>832</v>
      </c>
      <c r="V26" s="188">
        <v>736</v>
      </c>
      <c r="W26" s="188">
        <v>759</v>
      </c>
      <c r="X26" s="188">
        <v>816</v>
      </c>
      <c r="Y26" s="188">
        <v>811</v>
      </c>
      <c r="Z26" s="188">
        <v>814</v>
      </c>
      <c r="AA26" s="189">
        <v>792</v>
      </c>
      <c r="AB26" s="188">
        <v>831</v>
      </c>
      <c r="AC26" s="189">
        <v>925</v>
      </c>
      <c r="AD26" s="188">
        <v>851</v>
      </c>
      <c r="AE26" s="189">
        <v>819</v>
      </c>
      <c r="AF26" s="188">
        <v>924</v>
      </c>
      <c r="AG26" s="189">
        <v>886</v>
      </c>
      <c r="AH26" s="188">
        <v>793</v>
      </c>
      <c r="AI26" s="189">
        <v>901</v>
      </c>
      <c r="AJ26" s="188">
        <v>934</v>
      </c>
      <c r="AK26" s="189">
        <v>927</v>
      </c>
      <c r="AL26" s="188">
        <v>890</v>
      </c>
      <c r="AM26" s="189">
        <f>SUM(AN26:AY26)</f>
        <v>9993</v>
      </c>
      <c r="AN26" s="226">
        <v>771</v>
      </c>
      <c r="AO26" s="189">
        <v>876</v>
      </c>
      <c r="AP26" s="227">
        <v>915</v>
      </c>
      <c r="AQ26" s="194">
        <v>852</v>
      </c>
      <c r="AR26" s="194">
        <v>786</v>
      </c>
      <c r="AS26" s="194">
        <v>843</v>
      </c>
      <c r="AT26" s="194">
        <v>858</v>
      </c>
      <c r="AU26" s="194">
        <v>789</v>
      </c>
      <c r="AV26" s="194">
        <v>804</v>
      </c>
      <c r="AW26" s="194">
        <v>854</v>
      </c>
      <c r="AX26" s="194">
        <v>840</v>
      </c>
      <c r="AY26" s="195">
        <v>805</v>
      </c>
      <c r="AZ26" s="196">
        <f>SUM(BA26:BL26)</f>
        <v>10674</v>
      </c>
      <c r="BA26" s="228">
        <v>784</v>
      </c>
      <c r="BB26" s="198">
        <v>857</v>
      </c>
      <c r="BC26" s="198">
        <v>903</v>
      </c>
      <c r="BD26" s="198">
        <v>875</v>
      </c>
      <c r="BE26" s="198">
        <v>876</v>
      </c>
      <c r="BF26" s="198">
        <v>883</v>
      </c>
      <c r="BG26" s="198">
        <v>968</v>
      </c>
      <c r="BH26" s="198">
        <v>800</v>
      </c>
      <c r="BI26" s="198">
        <v>914</v>
      </c>
      <c r="BJ26" s="198">
        <v>970</v>
      </c>
      <c r="BK26" s="198">
        <v>940</v>
      </c>
      <c r="BL26" s="198">
        <v>904</v>
      </c>
      <c r="BM26" s="199">
        <v>879</v>
      </c>
      <c r="BN26" s="199">
        <v>926</v>
      </c>
      <c r="BO26" s="199">
        <v>920</v>
      </c>
      <c r="BP26" s="199">
        <v>868</v>
      </c>
      <c r="BQ26" s="199">
        <v>885</v>
      </c>
      <c r="BR26" s="199">
        <v>928</v>
      </c>
      <c r="BS26" s="199">
        <v>994</v>
      </c>
      <c r="BT26" s="199">
        <v>819</v>
      </c>
      <c r="BU26" s="199">
        <v>1017</v>
      </c>
      <c r="BV26" s="199">
        <v>1041</v>
      </c>
      <c r="BW26" s="199">
        <v>998</v>
      </c>
      <c r="BX26" s="199">
        <v>1012</v>
      </c>
      <c r="BY26" s="168">
        <f>SUM(BM26:BX26)</f>
        <v>11287</v>
      </c>
      <c r="BZ26" s="198">
        <v>938</v>
      </c>
      <c r="CA26" s="198">
        <v>1030</v>
      </c>
      <c r="CB26" s="198">
        <v>1149</v>
      </c>
      <c r="CC26" s="198">
        <v>1068</v>
      </c>
      <c r="CD26" s="229">
        <v>984</v>
      </c>
      <c r="CE26" s="235">
        <v>1060</v>
      </c>
      <c r="CF26" s="231">
        <v>1028</v>
      </c>
      <c r="CG26" s="231">
        <v>876</v>
      </c>
      <c r="CH26" s="231">
        <v>1052</v>
      </c>
      <c r="CI26" s="231">
        <v>1005</v>
      </c>
      <c r="CJ26" s="236">
        <v>1069.9469999999999</v>
      </c>
      <c r="CK26" s="343">
        <v>1076</v>
      </c>
      <c r="CL26" s="345">
        <f>SUM(BZ26:CK26)</f>
        <v>12335.947</v>
      </c>
      <c r="CM26" s="277">
        <v>906</v>
      </c>
      <c r="CN26" s="278">
        <v>1070</v>
      </c>
      <c r="CO26" s="278">
        <v>1193</v>
      </c>
      <c r="CP26" s="361">
        <v>1109</v>
      </c>
      <c r="CQ26" s="361">
        <v>996</v>
      </c>
      <c r="CR26" s="361">
        <v>1152</v>
      </c>
      <c r="CS26" s="361">
        <v>1069</v>
      </c>
      <c r="CT26" s="361">
        <v>968</v>
      </c>
      <c r="CU26" s="361">
        <v>1141</v>
      </c>
      <c r="CV26" s="361">
        <v>1113</v>
      </c>
      <c r="CW26" s="361">
        <v>1164</v>
      </c>
      <c r="CX26" s="353">
        <v>1100</v>
      </c>
      <c r="CY26" s="345">
        <f>SUM(CM26:CX26)</f>
        <v>12981</v>
      </c>
      <c r="CZ26" s="361">
        <v>982</v>
      </c>
      <c r="DA26" s="361">
        <v>1085</v>
      </c>
      <c r="DB26" s="361">
        <v>1202</v>
      </c>
      <c r="DC26" s="361">
        <v>1046</v>
      </c>
      <c r="DD26" s="361">
        <v>961</v>
      </c>
      <c r="DE26" s="361">
        <v>1094</v>
      </c>
      <c r="DF26" s="361">
        <v>1051</v>
      </c>
      <c r="DG26" s="361">
        <v>941</v>
      </c>
      <c r="DH26" s="361">
        <v>1073</v>
      </c>
      <c r="DI26" s="361">
        <v>1124</v>
      </c>
      <c r="DJ26" s="361">
        <v>1188</v>
      </c>
      <c r="DK26" s="361">
        <v>1147</v>
      </c>
      <c r="DL26" s="345">
        <f>SUM(CZ26:DK26)</f>
        <v>12894</v>
      </c>
      <c r="DM26" s="361">
        <v>978</v>
      </c>
      <c r="DN26" s="361">
        <v>1104</v>
      </c>
      <c r="DO26" s="361">
        <v>1180</v>
      </c>
      <c r="DP26" s="361">
        <v>1095</v>
      </c>
      <c r="DQ26" s="361">
        <v>1034</v>
      </c>
      <c r="DR26" s="361">
        <v>1086</v>
      </c>
      <c r="DS26" s="361">
        <v>1098</v>
      </c>
      <c r="DT26" s="361">
        <v>926</v>
      </c>
      <c r="DU26" s="361">
        <v>1045</v>
      </c>
      <c r="DV26" s="361">
        <v>1152</v>
      </c>
      <c r="DW26" s="361">
        <v>1137</v>
      </c>
      <c r="DX26" s="278">
        <v>1047</v>
      </c>
      <c r="DY26" s="385">
        <f>SUM(DM26:DX26)</f>
        <v>12882</v>
      </c>
      <c r="DZ26" s="391">
        <v>950</v>
      </c>
      <c r="EA26" s="391">
        <v>1108</v>
      </c>
      <c r="EB26" s="391">
        <v>1083</v>
      </c>
      <c r="EC26" s="391">
        <v>1082</v>
      </c>
      <c r="ED26" s="391">
        <v>1046</v>
      </c>
      <c r="EE26" s="391">
        <v>1144</v>
      </c>
      <c r="EF26" s="391">
        <v>1158</v>
      </c>
      <c r="EG26" s="391">
        <v>881</v>
      </c>
      <c r="EH26" s="391">
        <v>1107</v>
      </c>
      <c r="EI26" s="391">
        <v>1060</v>
      </c>
      <c r="EJ26" s="391">
        <v>893</v>
      </c>
      <c r="EK26" s="391">
        <v>763</v>
      </c>
      <c r="EL26" s="385">
        <f>SUM(DZ26:EK26)</f>
        <v>12275</v>
      </c>
      <c r="EM26" s="391">
        <v>528</v>
      </c>
      <c r="EN26" s="391">
        <v>499</v>
      </c>
      <c r="EO26" s="391">
        <v>550</v>
      </c>
      <c r="EP26" s="391">
        <v>571.495</v>
      </c>
      <c r="EQ26" s="391">
        <v>519.00199999999995</v>
      </c>
      <c r="ER26" s="391">
        <v>665.83500000000004</v>
      </c>
      <c r="ES26" s="391">
        <v>697.75199999999995</v>
      </c>
      <c r="ET26" s="391">
        <v>535.49400000000003</v>
      </c>
      <c r="EU26" s="391">
        <v>701.80200000000002</v>
      </c>
      <c r="EV26" s="391">
        <v>715.697</v>
      </c>
      <c r="EW26" s="391">
        <v>748.947</v>
      </c>
      <c r="EX26" s="391">
        <v>727.18200000000002</v>
      </c>
      <c r="EY26" s="385">
        <f>SUM(EM26:EX26)</f>
        <v>7460.2059999999992</v>
      </c>
      <c r="EZ26" s="391">
        <v>686.56500000000005</v>
      </c>
      <c r="FA26" s="391">
        <v>767.52800000000002</v>
      </c>
      <c r="FB26" s="391">
        <v>838.03</v>
      </c>
      <c r="FC26" s="391">
        <v>751.80899999999997</v>
      </c>
      <c r="FD26" s="391">
        <v>706.44100000000003</v>
      </c>
      <c r="FE26" s="391">
        <v>861.14300000000003</v>
      </c>
      <c r="FF26" s="391">
        <v>864.572</v>
      </c>
      <c r="FG26" s="391">
        <v>721.26099999999997</v>
      </c>
      <c r="FH26" s="391">
        <v>868.40300000000002</v>
      </c>
      <c r="FI26" s="391">
        <v>814.76400000000001</v>
      </c>
      <c r="FJ26" s="391">
        <v>866.93799999999999</v>
      </c>
      <c r="FK26" s="391">
        <v>836.16700000000003</v>
      </c>
      <c r="FL26" s="385">
        <f>SUM(EZ26:FK26)</f>
        <v>9583.6209999999992</v>
      </c>
      <c r="FM26" s="391">
        <v>744.34699999999998</v>
      </c>
      <c r="FN26" s="391">
        <v>853.20899999999995</v>
      </c>
      <c r="FO26" s="391">
        <v>820.64800000000002</v>
      </c>
      <c r="FP26" s="391">
        <v>735.69799999999998</v>
      </c>
      <c r="FQ26" s="391">
        <v>649.11400000000003</v>
      </c>
      <c r="FR26" s="391">
        <v>839.86099999999999</v>
      </c>
      <c r="FS26" s="391">
        <v>830.16600000000005</v>
      </c>
      <c r="FT26" s="391">
        <v>770.73900000000003</v>
      </c>
      <c r="FU26" s="391">
        <v>902.23599999999999</v>
      </c>
      <c r="FV26" s="391">
        <v>885.14800000000002</v>
      </c>
      <c r="FW26" s="391">
        <v>901.61300000000006</v>
      </c>
      <c r="FX26" s="391">
        <v>815.87400000000002</v>
      </c>
      <c r="FY26" s="385">
        <f>SUM(FM26:FX26)</f>
        <v>9748.6530000000002</v>
      </c>
      <c r="FZ26" s="391">
        <v>750.10199999999998</v>
      </c>
      <c r="GA26" s="391">
        <v>868.327</v>
      </c>
      <c r="GB26" s="391">
        <v>879.35900000000004</v>
      </c>
      <c r="GC26" s="391">
        <v>811.25900000000001</v>
      </c>
      <c r="GD26" s="415">
        <v>766.34</v>
      </c>
      <c r="GE26" s="415">
        <v>840.625</v>
      </c>
      <c r="GF26" s="415">
        <v>842.68499999999995</v>
      </c>
      <c r="GG26" s="415">
        <v>696.97400000000005</v>
      </c>
      <c r="GH26" s="415">
        <v>777.24599999999998</v>
      </c>
      <c r="GI26" s="415">
        <v>788.01300000000003</v>
      </c>
      <c r="GJ26" s="415">
        <v>723.46500000000003</v>
      </c>
      <c r="GK26" s="415">
        <v>678.36</v>
      </c>
      <c r="GL26" s="385">
        <f>SUM(FZ26:GK26)</f>
        <v>9422.755000000001</v>
      </c>
      <c r="GM26" s="391">
        <v>689.06600000000003</v>
      </c>
      <c r="GN26" s="391">
        <v>781.01599999999996</v>
      </c>
      <c r="GO26" s="391">
        <v>793.73900000000003</v>
      </c>
      <c r="GP26" s="391">
        <v>805.55200000000002</v>
      </c>
      <c r="GQ26" s="391">
        <v>789.23599999999999</v>
      </c>
      <c r="GR26" s="391">
        <v>809.36900000000003</v>
      </c>
      <c r="GS26" s="277">
        <v>887.74099999999999</v>
      </c>
      <c r="GT26" s="421">
        <v>711.94899999999996</v>
      </c>
      <c r="GU26" s="421">
        <v>858.20399999999995</v>
      </c>
      <c r="GV26" s="421">
        <v>894.05200000000002</v>
      </c>
      <c r="GW26" s="421">
        <v>847.91200000000003</v>
      </c>
      <c r="GX26" s="421">
        <v>837.41899999999998</v>
      </c>
      <c r="GY26" s="385">
        <f>SUM(GM26:GX26)</f>
        <v>9705.2549999999992</v>
      </c>
      <c r="GZ26" s="421">
        <v>823.42</v>
      </c>
      <c r="HA26" s="421">
        <v>842.66700000000003</v>
      </c>
      <c r="HB26" s="421">
        <v>886.39</v>
      </c>
      <c r="HC26" s="421">
        <v>870.46</v>
      </c>
      <c r="HD26" s="421">
        <v>854.54</v>
      </c>
      <c r="HE26" s="421">
        <v>943.39</v>
      </c>
      <c r="HF26" s="421">
        <v>965.15</v>
      </c>
      <c r="HG26" s="421">
        <v>742.42200000000003</v>
      </c>
      <c r="HH26" s="421">
        <v>948.83900000000006</v>
      </c>
      <c r="HI26" s="421">
        <v>944.28200000000004</v>
      </c>
      <c r="HJ26" s="421">
        <v>876.94</v>
      </c>
      <c r="HK26" s="421">
        <v>872.81100000000004</v>
      </c>
      <c r="HL26" s="385">
        <f>SUM(GZ26:HK26)</f>
        <v>10571.311</v>
      </c>
      <c r="HM26" s="421">
        <v>831.71600000000001</v>
      </c>
      <c r="HN26" s="427">
        <v>870.64400000000001</v>
      </c>
      <c r="HO26" s="429">
        <v>944.09900000000005</v>
      </c>
      <c r="HP26" s="426">
        <v>918.351</v>
      </c>
      <c r="HQ26" s="433">
        <v>769.98099999999999</v>
      </c>
      <c r="HR26" s="433">
        <v>962.52099999999996</v>
      </c>
      <c r="HS26" s="433">
        <v>957.91499999999996</v>
      </c>
      <c r="HT26" s="433">
        <v>736.31600000000003</v>
      </c>
      <c r="HU26" s="433">
        <v>962.91399999999999</v>
      </c>
      <c r="HV26" s="433">
        <v>957.39400000000001</v>
      </c>
      <c r="HW26" s="433">
        <v>965.46</v>
      </c>
      <c r="HX26" s="433">
        <v>911.303</v>
      </c>
      <c r="HY26" s="461">
        <f>SUM(HM26:HX26)</f>
        <v>10788.613999999998</v>
      </c>
      <c r="HZ26" s="467">
        <v>836691</v>
      </c>
      <c r="IA26" s="467">
        <v>983217</v>
      </c>
      <c r="IB26" s="467">
        <v>1009858</v>
      </c>
      <c r="IC26" s="467">
        <v>973105</v>
      </c>
      <c r="ID26" s="467">
        <v>830229</v>
      </c>
      <c r="IE26" s="467">
        <v>1009881</v>
      </c>
      <c r="IF26" s="467">
        <v>962330</v>
      </c>
      <c r="IG26" s="467">
        <v>859921</v>
      </c>
      <c r="IH26" s="467">
        <v>1028930</v>
      </c>
      <c r="II26" s="467">
        <v>989612</v>
      </c>
      <c r="IJ26" s="467">
        <v>1029075</v>
      </c>
      <c r="IK26" s="467">
        <v>994263</v>
      </c>
      <c r="IL26" s="468">
        <f>SUM(HZ26:IK26)</f>
        <v>11507112</v>
      </c>
      <c r="IM26" s="467">
        <v>893290</v>
      </c>
      <c r="IN26" s="467">
        <v>1016392</v>
      </c>
      <c r="IO26" s="467">
        <v>1117481</v>
      </c>
      <c r="IP26" s="467">
        <v>1034067</v>
      </c>
      <c r="IQ26" s="467">
        <v>927993</v>
      </c>
      <c r="IR26" s="467">
        <v>1107613</v>
      </c>
      <c r="IS26" s="467">
        <v>1071569</v>
      </c>
      <c r="IT26" s="467">
        <v>913312</v>
      </c>
      <c r="IU26" s="467">
        <v>1093877</v>
      </c>
      <c r="IV26" s="467">
        <v>1108154</v>
      </c>
      <c r="IW26" s="467">
        <v>1094347</v>
      </c>
      <c r="IX26" s="467">
        <v>1076402</v>
      </c>
      <c r="IY26" s="468">
        <f>SUM(IM26:IX26)</f>
        <v>12454497</v>
      </c>
      <c r="IZ26" s="467">
        <v>922470</v>
      </c>
      <c r="JA26" s="467">
        <v>1070044</v>
      </c>
      <c r="JB26" s="467">
        <v>1141103</v>
      </c>
      <c r="JC26" s="467">
        <v>1101870</v>
      </c>
      <c r="JD26" s="467">
        <v>985300</v>
      </c>
      <c r="JE26" s="467">
        <v>1132339</v>
      </c>
      <c r="JF26" s="520">
        <v>1138</v>
      </c>
      <c r="JG26" s="520">
        <v>952</v>
      </c>
      <c r="JH26" s="520">
        <v>1046</v>
      </c>
      <c r="JI26" s="520">
        <v>1169</v>
      </c>
      <c r="JJ26" s="520">
        <v>1160</v>
      </c>
      <c r="JK26" s="522">
        <v>1056</v>
      </c>
      <c r="JL26" s="524">
        <v>12873</v>
      </c>
      <c r="JM26" s="522">
        <v>960</v>
      </c>
      <c r="JN26" s="565">
        <v>1119</v>
      </c>
    </row>
    <row r="27" spans="1:274" ht="13.5" customHeight="1" thickBot="1" x14ac:dyDescent="0.35">
      <c r="A27" s="544"/>
      <c r="B27" s="74" t="s">
        <v>102</v>
      </c>
      <c r="C27" s="201"/>
      <c r="D27" s="202"/>
      <c r="E27" s="202"/>
      <c r="F27" s="202"/>
      <c r="G27" s="202"/>
      <c r="H27" s="202">
        <f t="shared" ref="H27:N27" si="284">(H26/G26-1)*100</f>
        <v>-3.0358519660755645</v>
      </c>
      <c r="I27" s="202">
        <f t="shared" si="284"/>
        <v>-6.9575588907666575E-2</v>
      </c>
      <c r="J27" s="202">
        <f t="shared" si="284"/>
        <v>0.65645514223193757</v>
      </c>
      <c r="K27" s="202">
        <f t="shared" si="284"/>
        <v>7.9841897233201564</v>
      </c>
      <c r="L27" s="202">
        <f t="shared" si="284"/>
        <v>-10.56918008784773</v>
      </c>
      <c r="M27" s="202">
        <f t="shared" si="284"/>
        <v>-4.0929090350966923</v>
      </c>
      <c r="N27" s="202">
        <f t="shared" si="284"/>
        <v>11.735836978555426</v>
      </c>
      <c r="O27" s="203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205"/>
      <c r="AA27" s="202">
        <f t="shared" ref="AA27:AL27" si="285">(AA26/O26-1)*100</f>
        <v>7.9019073569482234</v>
      </c>
      <c r="AB27" s="202">
        <f t="shared" si="285"/>
        <v>18.207681365576111</v>
      </c>
      <c r="AC27" s="202">
        <f t="shared" si="285"/>
        <v>12.393681652490883</v>
      </c>
      <c r="AD27" s="202">
        <f t="shared" si="285"/>
        <v>4.1615667074663465</v>
      </c>
      <c r="AE27" s="202">
        <f t="shared" si="285"/>
        <v>10.975609756097571</v>
      </c>
      <c r="AF27" s="202">
        <f t="shared" si="285"/>
        <v>16.962025316455698</v>
      </c>
      <c r="AG27" s="202">
        <f t="shared" si="285"/>
        <v>6.4903846153846256</v>
      </c>
      <c r="AH27" s="202">
        <f t="shared" si="285"/>
        <v>7.7445652173913082</v>
      </c>
      <c r="AI27" s="202">
        <f t="shared" si="285"/>
        <v>18.708827404479589</v>
      </c>
      <c r="AJ27" s="202">
        <f t="shared" si="285"/>
        <v>14.460784313725483</v>
      </c>
      <c r="AK27" s="202">
        <f t="shared" si="285"/>
        <v>14.303329223181249</v>
      </c>
      <c r="AL27" s="206">
        <f t="shared" si="285"/>
        <v>9.3366093366093352</v>
      </c>
      <c r="AM27" s="202">
        <f>(AM26/N26-1)*100</f>
        <v>-4.583213978802636</v>
      </c>
      <c r="AN27" s="207">
        <f t="shared" ref="AN27:AY27" si="286">(AN26/AA26-1)*100</f>
        <v>-2.6515151515151492</v>
      </c>
      <c r="AO27" s="202">
        <f t="shared" si="286"/>
        <v>5.4151624548736566</v>
      </c>
      <c r="AP27" s="206">
        <f t="shared" si="286"/>
        <v>-1.0810810810810811</v>
      </c>
      <c r="AQ27" s="202">
        <f t="shared" si="286"/>
        <v>0.1175088131609936</v>
      </c>
      <c r="AR27" s="202">
        <f t="shared" si="286"/>
        <v>-4.0293040293040256</v>
      </c>
      <c r="AS27" s="208">
        <f t="shared" si="286"/>
        <v>-8.7662337662337659</v>
      </c>
      <c r="AT27" s="202">
        <f t="shared" si="286"/>
        <v>-3.1602708803611712</v>
      </c>
      <c r="AU27" s="208">
        <f t="shared" si="286"/>
        <v>-0.50441361916772065</v>
      </c>
      <c r="AV27" s="202">
        <f t="shared" si="286"/>
        <v>-10.765815760266372</v>
      </c>
      <c r="AW27" s="208">
        <f t="shared" si="286"/>
        <v>-8.5653104925053505</v>
      </c>
      <c r="AX27" s="202">
        <f t="shared" si="286"/>
        <v>-9.3851132686084142</v>
      </c>
      <c r="AY27" s="209">
        <f t="shared" si="286"/>
        <v>-9.5505617977528097</v>
      </c>
      <c r="AZ27" s="210">
        <f t="shared" ref="AZ27:BL27" si="287">(AZ26/AM26-1)*100</f>
        <v>6.8147703392374748</v>
      </c>
      <c r="BA27" s="232">
        <f t="shared" si="287"/>
        <v>1.6861219195849486</v>
      </c>
      <c r="BB27" s="215">
        <f t="shared" si="287"/>
        <v>-2.168949771689499</v>
      </c>
      <c r="BC27" s="215">
        <f t="shared" si="287"/>
        <v>-1.3114754098360604</v>
      </c>
      <c r="BD27" s="215">
        <f t="shared" si="287"/>
        <v>2.699530516431925</v>
      </c>
      <c r="BE27" s="215">
        <f t="shared" si="287"/>
        <v>11.45038167938932</v>
      </c>
      <c r="BF27" s="215">
        <f t="shared" si="287"/>
        <v>4.7449584816132928</v>
      </c>
      <c r="BG27" s="215">
        <f t="shared" si="287"/>
        <v>12.820512820512819</v>
      </c>
      <c r="BH27" s="215">
        <f t="shared" si="287"/>
        <v>1.3941698352344822</v>
      </c>
      <c r="BI27" s="215">
        <f t="shared" si="287"/>
        <v>13.681592039800993</v>
      </c>
      <c r="BJ27" s="215">
        <f t="shared" si="287"/>
        <v>13.5831381733021</v>
      </c>
      <c r="BK27" s="215">
        <f t="shared" si="287"/>
        <v>11.904761904761907</v>
      </c>
      <c r="BL27" s="215">
        <f t="shared" si="287"/>
        <v>12.298136645962732</v>
      </c>
      <c r="BM27" s="233">
        <f t="shared" ref="BM27:BX27" si="288">(BM26/BA26-1)*100</f>
        <v>12.117346938775508</v>
      </c>
      <c r="BN27" s="233">
        <f t="shared" si="288"/>
        <v>8.0513418903150438</v>
      </c>
      <c r="BO27" s="233">
        <f t="shared" si="288"/>
        <v>1.8826135105204811</v>
      </c>
      <c r="BP27" s="233">
        <f t="shared" si="288"/>
        <v>-0.80000000000000071</v>
      </c>
      <c r="BQ27" s="233">
        <f t="shared" si="288"/>
        <v>1.0273972602739656</v>
      </c>
      <c r="BR27" s="233">
        <f t="shared" si="288"/>
        <v>5.0962627406568428</v>
      </c>
      <c r="BS27" s="233">
        <f t="shared" si="288"/>
        <v>2.6859504132231482</v>
      </c>
      <c r="BT27" s="233">
        <f t="shared" si="288"/>
        <v>2.3749999999999938</v>
      </c>
      <c r="BU27" s="233">
        <f t="shared" si="288"/>
        <v>11.269146608315106</v>
      </c>
      <c r="BV27" s="233">
        <f t="shared" si="288"/>
        <v>7.3195876288659756</v>
      </c>
      <c r="BW27" s="233">
        <f t="shared" si="288"/>
        <v>6.1702127659574391</v>
      </c>
      <c r="BX27" s="233">
        <f t="shared" si="288"/>
        <v>11.946902654867264</v>
      </c>
      <c r="BY27" s="182">
        <f>(BY26/AZ26-1)*100</f>
        <v>5.7429267378677151</v>
      </c>
      <c r="BZ27" s="184">
        <f t="shared" ref="BZ27:CK27" si="289">(BZ26/BM26-1)*100</f>
        <v>6.7121729237770156</v>
      </c>
      <c r="CA27" s="184">
        <f t="shared" si="289"/>
        <v>11.23110151187905</v>
      </c>
      <c r="CB27" s="184">
        <f t="shared" si="289"/>
        <v>24.891304347826093</v>
      </c>
      <c r="CC27" s="184">
        <f t="shared" si="289"/>
        <v>23.041474654377868</v>
      </c>
      <c r="CD27" s="212">
        <f t="shared" si="289"/>
        <v>11.186440677966104</v>
      </c>
      <c r="CE27" s="217">
        <f t="shared" si="289"/>
        <v>14.224137931034475</v>
      </c>
      <c r="CF27" s="217">
        <f t="shared" si="289"/>
        <v>3.4205231388329871</v>
      </c>
      <c r="CG27" s="217">
        <f t="shared" si="289"/>
        <v>6.9597069597069572</v>
      </c>
      <c r="CH27" s="217">
        <f t="shared" si="289"/>
        <v>3.4414945919370776</v>
      </c>
      <c r="CI27" s="217">
        <f t="shared" si="289"/>
        <v>-3.458213256484155</v>
      </c>
      <c r="CJ27" s="217">
        <f t="shared" si="289"/>
        <v>7.2091182364729445</v>
      </c>
      <c r="CK27" s="342">
        <f t="shared" si="289"/>
        <v>6.3241106719367668</v>
      </c>
      <c r="CL27" s="181">
        <f t="shared" ref="CL27:EL27" si="290">(CL26/BY26-1)*100</f>
        <v>9.2934083458846573</v>
      </c>
      <c r="CM27" s="273">
        <f t="shared" si="290"/>
        <v>-3.4115138592750505</v>
      </c>
      <c r="CN27" s="274">
        <f t="shared" si="290"/>
        <v>3.8834951456310662</v>
      </c>
      <c r="CO27" s="274">
        <f t="shared" si="290"/>
        <v>3.829416884247161</v>
      </c>
      <c r="CP27" s="359">
        <f t="shared" si="290"/>
        <v>3.838951310861427</v>
      </c>
      <c r="CQ27" s="359">
        <f t="shared" si="290"/>
        <v>1.2195121951219523</v>
      </c>
      <c r="CR27" s="359">
        <f t="shared" si="290"/>
        <v>8.6792452830188651</v>
      </c>
      <c r="CS27" s="359">
        <f t="shared" si="290"/>
        <v>3.9883268482490353</v>
      </c>
      <c r="CT27" s="359">
        <f t="shared" si="290"/>
        <v>10.502283105022837</v>
      </c>
      <c r="CU27" s="359">
        <f t="shared" si="290"/>
        <v>8.4600760456273747</v>
      </c>
      <c r="CV27" s="359">
        <f t="shared" si="290"/>
        <v>10.746268656716417</v>
      </c>
      <c r="CW27" s="359">
        <f t="shared" si="290"/>
        <v>8.7904354140906129</v>
      </c>
      <c r="CX27" s="351">
        <f t="shared" si="290"/>
        <v>2.2304832713754719</v>
      </c>
      <c r="CY27" s="181">
        <f t="shared" si="290"/>
        <v>5.2290513245557779</v>
      </c>
      <c r="CZ27" s="359">
        <f t="shared" si="290"/>
        <v>8.3885209713024267</v>
      </c>
      <c r="DA27" s="359">
        <f t="shared" si="290"/>
        <v>1.4018691588784993</v>
      </c>
      <c r="DB27" s="359">
        <f t="shared" si="290"/>
        <v>0.75440067057837012</v>
      </c>
      <c r="DC27" s="359">
        <f t="shared" si="290"/>
        <v>-5.6807935076645606</v>
      </c>
      <c r="DD27" s="359">
        <f t="shared" si="290"/>
        <v>-3.5140562248995977</v>
      </c>
      <c r="DE27" s="359">
        <f t="shared" si="290"/>
        <v>-5.0347222222222214</v>
      </c>
      <c r="DF27" s="359">
        <f t="shared" si="290"/>
        <v>-1.6838166510757757</v>
      </c>
      <c r="DG27" s="359">
        <f t="shared" si="290"/>
        <v>-2.789256198347112</v>
      </c>
      <c r="DH27" s="359">
        <f t="shared" si="290"/>
        <v>-5.9596844872918497</v>
      </c>
      <c r="DI27" s="359">
        <f t="shared" si="290"/>
        <v>0.98831985624439067</v>
      </c>
      <c r="DJ27" s="359">
        <f t="shared" si="290"/>
        <v>2.0618556701030855</v>
      </c>
      <c r="DK27" s="359">
        <f t="shared" si="290"/>
        <v>4.2727272727272725</v>
      </c>
      <c r="DL27" s="181">
        <f t="shared" si="290"/>
        <v>-0.6702103073723098</v>
      </c>
      <c r="DM27" s="359">
        <f t="shared" si="290"/>
        <v>-0.40733197556007683</v>
      </c>
      <c r="DN27" s="359">
        <f t="shared" si="290"/>
        <v>1.7511520737327091</v>
      </c>
      <c r="DO27" s="359">
        <f t="shared" si="290"/>
        <v>-1.830282861896837</v>
      </c>
      <c r="DP27" s="359">
        <f t="shared" si="290"/>
        <v>4.684512428298282</v>
      </c>
      <c r="DQ27" s="359">
        <f t="shared" si="290"/>
        <v>7.5962539021852127</v>
      </c>
      <c r="DR27" s="359">
        <f t="shared" si="290"/>
        <v>-0.73126142595978383</v>
      </c>
      <c r="DS27" s="359">
        <f t="shared" si="290"/>
        <v>4.4719314938154175</v>
      </c>
      <c r="DT27" s="359">
        <f t="shared" si="290"/>
        <v>-1.5940488841657774</v>
      </c>
      <c r="DU27" s="359">
        <f t="shared" si="290"/>
        <v>-2.6095060577819185</v>
      </c>
      <c r="DV27" s="359">
        <f t="shared" si="290"/>
        <v>2.4911032028469782</v>
      </c>
      <c r="DW27" s="359">
        <f t="shared" si="290"/>
        <v>-4.2929292929292924</v>
      </c>
      <c r="DX27" s="274">
        <f t="shared" si="290"/>
        <v>-8.7183958151700107</v>
      </c>
      <c r="DY27" s="346">
        <f t="shared" si="290"/>
        <v>-9.3066542577946443E-2</v>
      </c>
      <c r="DZ27" s="389">
        <f t="shared" si="290"/>
        <v>-2.8629856850715729</v>
      </c>
      <c r="EA27" s="389">
        <f t="shared" si="290"/>
        <v>0.36231884057971175</v>
      </c>
      <c r="EB27" s="389">
        <f t="shared" si="290"/>
        <v>-8.220338983050846</v>
      </c>
      <c r="EC27" s="389">
        <f t="shared" si="290"/>
        <v>-1.1872146118721449</v>
      </c>
      <c r="ED27" s="389">
        <f t="shared" si="290"/>
        <v>1.1605415860735047</v>
      </c>
      <c r="EE27" s="389">
        <f t="shared" si="290"/>
        <v>5.3406998158379348</v>
      </c>
      <c r="EF27" s="389">
        <f t="shared" si="290"/>
        <v>5.464480874316946</v>
      </c>
      <c r="EG27" s="389">
        <f t="shared" si="290"/>
        <v>-4.8596112311015123</v>
      </c>
      <c r="EH27" s="389">
        <f>(EH26/DU26-1)*100</f>
        <v>5.93301435406699</v>
      </c>
      <c r="EI27" s="389">
        <f t="shared" si="290"/>
        <v>-7.986111111111116</v>
      </c>
      <c r="EJ27" s="389">
        <f t="shared" si="290"/>
        <v>-21.459982409850486</v>
      </c>
      <c r="EK27" s="389">
        <f t="shared" si="290"/>
        <v>-27.125119388729701</v>
      </c>
      <c r="EL27" s="346">
        <f t="shared" si="290"/>
        <v>-4.7120012420431623</v>
      </c>
      <c r="EM27" s="389">
        <f t="shared" ref="EM27:EX27" si="291">(EM26/DZ26-1)*100</f>
        <v>-44.421052631578952</v>
      </c>
      <c r="EN27" s="389">
        <f t="shared" si="291"/>
        <v>-54.963898916967516</v>
      </c>
      <c r="EO27" s="389">
        <f t="shared" si="291"/>
        <v>-49.215143120960292</v>
      </c>
      <c r="EP27" s="389">
        <f t="shared" si="291"/>
        <v>-47.181608133086868</v>
      </c>
      <c r="EQ27" s="389">
        <f t="shared" si="291"/>
        <v>-50.38221797323137</v>
      </c>
      <c r="ER27" s="389">
        <f t="shared" si="291"/>
        <v>-41.79763986013986</v>
      </c>
      <c r="ES27" s="389">
        <f t="shared" si="291"/>
        <v>-39.745077720207256</v>
      </c>
      <c r="ET27" s="389">
        <f t="shared" si="291"/>
        <v>-39.217480136208849</v>
      </c>
      <c r="EU27" s="389">
        <f t="shared" si="291"/>
        <v>-36.603252032520331</v>
      </c>
      <c r="EV27" s="389">
        <f t="shared" si="291"/>
        <v>-32.481415094339624</v>
      </c>
      <c r="EW27" s="389">
        <f t="shared" si="291"/>
        <v>-16.131354983202684</v>
      </c>
      <c r="EX27" s="389">
        <f t="shared" si="291"/>
        <v>-4.6943643512450839</v>
      </c>
      <c r="EY27" s="346">
        <f t="shared" ref="EY27:FX27" si="292">(EY26/EL26-1)*100</f>
        <v>-39.224391038696552</v>
      </c>
      <c r="EZ27" s="389">
        <f t="shared" si="292"/>
        <v>30.031250000000021</v>
      </c>
      <c r="FA27" s="389">
        <f t="shared" si="292"/>
        <v>53.813226452905802</v>
      </c>
      <c r="FB27" s="389">
        <f t="shared" si="292"/>
        <v>52.3690909090909</v>
      </c>
      <c r="FC27" s="389">
        <f t="shared" si="292"/>
        <v>31.551282163448491</v>
      </c>
      <c r="FD27" s="389">
        <f t="shared" si="292"/>
        <v>36.115275085645159</v>
      </c>
      <c r="FE27" s="389">
        <f t="shared" si="292"/>
        <v>29.3327926588419</v>
      </c>
      <c r="FF27" s="389">
        <f t="shared" si="292"/>
        <v>23.908208073928861</v>
      </c>
      <c r="FG27" s="389">
        <f t="shared" si="292"/>
        <v>34.690771511912352</v>
      </c>
      <c r="FH27" s="389">
        <f t="shared" si="292"/>
        <v>23.739031806691923</v>
      </c>
      <c r="FI27" s="389">
        <f t="shared" si="292"/>
        <v>13.842030915317526</v>
      </c>
      <c r="FJ27" s="389">
        <f t="shared" si="292"/>
        <v>15.754252303567551</v>
      </c>
      <c r="FK27" s="389">
        <f t="shared" si="292"/>
        <v>14.987307166569042</v>
      </c>
      <c r="FL27" s="346">
        <f t="shared" si="292"/>
        <v>28.463222061160252</v>
      </c>
      <c r="FM27" s="389">
        <f t="shared" si="292"/>
        <v>8.4161004420557397</v>
      </c>
      <c r="FN27" s="389">
        <f t="shared" si="292"/>
        <v>11.163240950167275</v>
      </c>
      <c r="FO27" s="389">
        <f t="shared" si="292"/>
        <v>-2.0741500900922305</v>
      </c>
      <c r="FP27" s="389">
        <f t="shared" si="292"/>
        <v>-2.142964502952216</v>
      </c>
      <c r="FQ27" s="389">
        <f t="shared" si="292"/>
        <v>-8.1149027307305222</v>
      </c>
      <c r="FR27" s="389">
        <f t="shared" si="292"/>
        <v>-2.4713665442325006</v>
      </c>
      <c r="FS27" s="389">
        <f t="shared" si="292"/>
        <v>-3.9795413221802134</v>
      </c>
      <c r="FT27" s="389">
        <f t="shared" si="292"/>
        <v>6.85993003919525</v>
      </c>
      <c r="FU27" s="389">
        <f t="shared" si="292"/>
        <v>3.896002201742732</v>
      </c>
      <c r="FV27" s="389">
        <f t="shared" si="292"/>
        <v>8.6385750965923833</v>
      </c>
      <c r="FW27" s="389">
        <f t="shared" si="292"/>
        <v>3.9997093217738922</v>
      </c>
      <c r="FX27" s="389">
        <f t="shared" si="292"/>
        <v>-2.4269075435887855</v>
      </c>
      <c r="FY27" s="346">
        <f t="shared" ref="FY27:HY27" si="293">(FY26/FL26-1)*100</f>
        <v>1.7220213528894801</v>
      </c>
      <c r="FZ27" s="389">
        <f t="shared" si="293"/>
        <v>0.77316090479306876</v>
      </c>
      <c r="GA27" s="389">
        <f t="shared" si="293"/>
        <v>1.7718987961917954</v>
      </c>
      <c r="GB27" s="389">
        <f t="shared" si="293"/>
        <v>7.1542244665191435</v>
      </c>
      <c r="GC27" s="389">
        <f t="shared" si="293"/>
        <v>10.270654534877078</v>
      </c>
      <c r="GD27" s="413">
        <f t="shared" si="293"/>
        <v>18.059385562474397</v>
      </c>
      <c r="GE27" s="413">
        <f t="shared" si="293"/>
        <v>9.0967433896804728E-2</v>
      </c>
      <c r="GF27" s="413">
        <f t="shared" si="293"/>
        <v>1.5080116506819063</v>
      </c>
      <c r="GG27" s="413">
        <f t="shared" si="293"/>
        <v>-9.5706847583942096</v>
      </c>
      <c r="GH27" s="413">
        <f t="shared" si="293"/>
        <v>-13.853359874799942</v>
      </c>
      <c r="GI27" s="413">
        <f t="shared" si="293"/>
        <v>-10.973871036256078</v>
      </c>
      <c r="GJ27" s="413">
        <f t="shared" si="293"/>
        <v>-19.758810043777096</v>
      </c>
      <c r="GK27" s="413">
        <f t="shared" si="293"/>
        <v>-16.854808463071503</v>
      </c>
      <c r="GL27" s="346">
        <f t="shared" si="293"/>
        <v>-3.3430054388026709</v>
      </c>
      <c r="GM27" s="389">
        <f t="shared" si="293"/>
        <v>-8.1370266977024421</v>
      </c>
      <c r="GN27" s="389">
        <f t="shared" si="293"/>
        <v>-10.055082935345794</v>
      </c>
      <c r="GO27" s="389">
        <f t="shared" si="293"/>
        <v>-9.7366377099682886</v>
      </c>
      <c r="GP27" s="389">
        <f t="shared" si="293"/>
        <v>-0.70347447609210301</v>
      </c>
      <c r="GQ27" s="389">
        <f t="shared" si="293"/>
        <v>2.9877078059346918</v>
      </c>
      <c r="GR27" s="389">
        <f t="shared" si="293"/>
        <v>-3.7181858736059392</v>
      </c>
      <c r="GS27" s="273">
        <f t="shared" si="293"/>
        <v>5.3467191180571749</v>
      </c>
      <c r="GT27" s="389">
        <f t="shared" si="293"/>
        <v>2.1485736914145903</v>
      </c>
      <c r="GU27" s="389">
        <f t="shared" si="293"/>
        <v>10.416007287268126</v>
      </c>
      <c r="GV27" s="389">
        <f t="shared" si="293"/>
        <v>13.456503890164239</v>
      </c>
      <c r="GW27" s="389">
        <f t="shared" si="293"/>
        <v>17.201523225035075</v>
      </c>
      <c r="GX27" s="389">
        <f t="shared" si="293"/>
        <v>23.447579456335866</v>
      </c>
      <c r="GY27" s="346">
        <f t="shared" si="293"/>
        <v>2.9980616072475375</v>
      </c>
      <c r="GZ27" s="389">
        <f t="shared" si="293"/>
        <v>19.497987130405491</v>
      </c>
      <c r="HA27" s="389">
        <f t="shared" si="293"/>
        <v>7.8936923187233221</v>
      </c>
      <c r="HB27" s="389">
        <f t="shared" si="293"/>
        <v>11.672728692933054</v>
      </c>
      <c r="HC27" s="389">
        <f t="shared" si="293"/>
        <v>8.0575803920789788</v>
      </c>
      <c r="HD27" s="389">
        <f t="shared" si="293"/>
        <v>8.2743311252907894</v>
      </c>
      <c r="HE27" s="389">
        <f t="shared" si="293"/>
        <v>16.55870190234614</v>
      </c>
      <c r="HF27" s="389">
        <f t="shared" si="293"/>
        <v>8.719772996853802</v>
      </c>
      <c r="HG27" s="389">
        <f t="shared" si="293"/>
        <v>4.2802223192953459</v>
      </c>
      <c r="HH27" s="389">
        <f t="shared" si="293"/>
        <v>10.561008804433447</v>
      </c>
      <c r="HI27" s="389">
        <f t="shared" si="293"/>
        <v>5.6182414445692164</v>
      </c>
      <c r="HJ27" s="389">
        <f t="shared" si="293"/>
        <v>3.4234684731434317</v>
      </c>
      <c r="HK27" s="389">
        <f t="shared" si="293"/>
        <v>4.2263192022153895</v>
      </c>
      <c r="HL27" s="346">
        <f t="shared" si="293"/>
        <v>8.9235779997537392</v>
      </c>
      <c r="HM27" s="389">
        <f t="shared" si="293"/>
        <v>1.0075052828447228</v>
      </c>
      <c r="HN27" s="273">
        <f t="shared" si="293"/>
        <v>3.320054066434297</v>
      </c>
      <c r="HO27" s="413">
        <f t="shared" si="293"/>
        <v>6.5105653267748975</v>
      </c>
      <c r="HP27" s="273">
        <f t="shared" si="293"/>
        <v>5.5018036440502627</v>
      </c>
      <c r="HQ27" s="413">
        <f t="shared" si="293"/>
        <v>-9.8952652889273693</v>
      </c>
      <c r="HR27" s="413">
        <f t="shared" si="293"/>
        <v>2.0278993841359227</v>
      </c>
      <c r="HS27" s="413">
        <f t="shared" si="293"/>
        <v>-0.7496244107133565</v>
      </c>
      <c r="HT27" s="413">
        <f t="shared" si="293"/>
        <v>-0.82244330044098923</v>
      </c>
      <c r="HU27" s="413">
        <f t="shared" si="293"/>
        <v>1.4833918083046793</v>
      </c>
      <c r="HV27" s="413">
        <f t="shared" si="293"/>
        <v>1.3885682455029302</v>
      </c>
      <c r="HW27" s="413">
        <f t="shared" si="293"/>
        <v>10.094191164731914</v>
      </c>
      <c r="HX27" s="413">
        <f t="shared" si="293"/>
        <v>4.410118570916266</v>
      </c>
      <c r="HY27" s="457">
        <f t="shared" si="293"/>
        <v>2.055591780432886</v>
      </c>
      <c r="HZ27" s="413">
        <f>(837/832-1)*100</f>
        <v>0.60096153846154188</v>
      </c>
      <c r="IA27" s="413">
        <f>(983/871-1)*100</f>
        <v>12.858783008036735</v>
      </c>
      <c r="IB27" s="413">
        <f>(1010/944-1)*100</f>
        <v>6.991525423728806</v>
      </c>
      <c r="IC27" s="413">
        <f>(973/918-1)*100</f>
        <v>5.9912854030501173</v>
      </c>
      <c r="ID27" s="413">
        <f>(830/770-1)*100</f>
        <v>7.7922077922077948</v>
      </c>
      <c r="IE27" s="413">
        <f>(1010/963-1)*100</f>
        <v>4.880581516095539</v>
      </c>
      <c r="IF27" s="413">
        <f>(962/958-1)*100</f>
        <v>0.41753653444676075</v>
      </c>
      <c r="IG27" s="413">
        <f>(860/736-1)*100</f>
        <v>16.84782608695652</v>
      </c>
      <c r="IH27" s="413">
        <f>(9464/9118-1)*100</f>
        <v>3.794691818381235</v>
      </c>
      <c r="II27" s="413">
        <f>(990/957-1)*100</f>
        <v>3.4482758620689724</v>
      </c>
      <c r="IJ27" s="413">
        <f>(1029/965-1)*100</f>
        <v>6.6321243523316031</v>
      </c>
      <c r="IK27" s="413">
        <f>(994/911-1)*100</f>
        <v>9.1108671789242646</v>
      </c>
      <c r="IL27" s="465">
        <f>(11507/10789-1)*100</f>
        <v>6.654926313838172</v>
      </c>
      <c r="IM27" s="413">
        <f>(893/837-1)*100</f>
        <v>6.6905615292712106</v>
      </c>
      <c r="IN27" s="502">
        <f t="shared" si="279"/>
        <v>3.3741279900571186</v>
      </c>
      <c r="IO27" s="502">
        <f t="shared" si="279"/>
        <v>10.657240919020294</v>
      </c>
      <c r="IP27" s="502">
        <f t="shared" si="279"/>
        <v>6.2646888054218142</v>
      </c>
      <c r="IQ27" s="502">
        <f t="shared" si="279"/>
        <v>11.775546264946168</v>
      </c>
      <c r="IR27" s="502">
        <f t="shared" si="279"/>
        <v>9.6775758728008476</v>
      </c>
      <c r="IS27" s="502">
        <f t="shared" si="279"/>
        <v>11.351511435786055</v>
      </c>
      <c r="IT27" s="502">
        <f t="shared" si="279"/>
        <v>6.2088261596123351</v>
      </c>
      <c r="IU27" s="502">
        <f t="shared" si="279"/>
        <v>6.3120912015394604</v>
      </c>
      <c r="IV27" s="502">
        <f t="shared" si="279"/>
        <v>11.978634050516778</v>
      </c>
      <c r="IW27" s="502">
        <f t="shared" si="279"/>
        <v>6.3427835677671629</v>
      </c>
      <c r="IX27" s="502">
        <f t="shared" si="279"/>
        <v>8.2612950497001236</v>
      </c>
      <c r="IY27" s="465">
        <f t="shared" ref="IY27:JE27" si="294">(IY26/IL26-1)*100</f>
        <v>8.2330388371991248</v>
      </c>
      <c r="IZ27" s="502">
        <f t="shared" si="294"/>
        <v>3.2665763637788503</v>
      </c>
      <c r="JA27" s="502">
        <f t="shared" si="294"/>
        <v>5.2786720084376793</v>
      </c>
      <c r="JB27" s="502">
        <f t="shared" si="294"/>
        <v>2.113861443729248</v>
      </c>
      <c r="JC27" s="502">
        <f t="shared" si="294"/>
        <v>6.5569252282492441</v>
      </c>
      <c r="JD27" s="502">
        <f t="shared" si="294"/>
        <v>6.1753698573157267</v>
      </c>
      <c r="JE27" s="502">
        <f t="shared" si="294"/>
        <v>2.2323681646928994</v>
      </c>
      <c r="JF27" s="502">
        <f>(JF26/1072-1)*100</f>
        <v>6.1567164179104461</v>
      </c>
      <c r="JG27" s="502">
        <f>(JG26/913-1)*100</f>
        <v>4.2716319824753546</v>
      </c>
      <c r="JH27" s="502">
        <f>(JH26/1094-1)*100</f>
        <v>-4.3875685557586808</v>
      </c>
      <c r="JI27" s="502">
        <f>(JI26/1108-1)*100</f>
        <v>5.5054151624548631</v>
      </c>
      <c r="JJ27" s="502">
        <f>(JJ26/1094-1)*100</f>
        <v>6.0329067641681888</v>
      </c>
      <c r="JK27" s="502">
        <f>(JK26/1076-1)*100</f>
        <v>-1.8587360594795488</v>
      </c>
      <c r="JL27" s="534">
        <f>(JL26/12454-1)*100</f>
        <v>3.3643809217921872</v>
      </c>
      <c r="JM27" s="502">
        <f>(JM26/922-1)*100</f>
        <v>4.1214750542299283</v>
      </c>
      <c r="JN27" s="566">
        <f>(JN26/1070-1)*100</f>
        <v>4.5794392523364591</v>
      </c>
    </row>
    <row r="28" spans="1:274" ht="13.5" customHeight="1" x14ac:dyDescent="0.3">
      <c r="A28" s="545" t="s">
        <v>107</v>
      </c>
      <c r="B28" s="75" t="s">
        <v>108</v>
      </c>
      <c r="C28" s="247"/>
      <c r="D28" s="247"/>
      <c r="E28" s="247"/>
      <c r="F28" s="247"/>
      <c r="G28" s="248">
        <v>18704</v>
      </c>
      <c r="H28" s="159">
        <v>21713</v>
      </c>
      <c r="I28" s="158">
        <v>23786</v>
      </c>
      <c r="J28" s="159">
        <v>26577</v>
      </c>
      <c r="K28" s="158">
        <v>30371</v>
      </c>
      <c r="L28" s="159">
        <v>26462</v>
      </c>
      <c r="M28" s="249">
        <v>27250</v>
      </c>
      <c r="N28" s="159">
        <f>SUM(AA28:AL28)</f>
        <v>35317</v>
      </c>
      <c r="O28" s="161">
        <v>1951</v>
      </c>
      <c r="P28" s="162">
        <v>2369</v>
      </c>
      <c r="Q28" s="162">
        <v>2405</v>
      </c>
      <c r="R28" s="162">
        <v>2265</v>
      </c>
      <c r="S28" s="162">
        <v>2088</v>
      </c>
      <c r="T28" s="162">
        <v>2371</v>
      </c>
      <c r="U28" s="162">
        <v>2265</v>
      </c>
      <c r="V28" s="162">
        <v>1926</v>
      </c>
      <c r="W28" s="162">
        <v>2327</v>
      </c>
      <c r="X28" s="162">
        <v>2409</v>
      </c>
      <c r="Y28" s="162">
        <v>2505</v>
      </c>
      <c r="Z28" s="163">
        <v>2369</v>
      </c>
      <c r="AA28" s="159">
        <v>2424</v>
      </c>
      <c r="AB28" s="158">
        <v>2989</v>
      </c>
      <c r="AC28" s="159">
        <v>3207</v>
      </c>
      <c r="AD28" s="158">
        <v>3003</v>
      </c>
      <c r="AE28" s="159">
        <v>2693</v>
      </c>
      <c r="AF28" s="158">
        <v>3131</v>
      </c>
      <c r="AG28" s="159">
        <v>2880</v>
      </c>
      <c r="AH28" s="158">
        <v>2604</v>
      </c>
      <c r="AI28" s="159">
        <v>2968</v>
      </c>
      <c r="AJ28" s="158">
        <v>3111</v>
      </c>
      <c r="AK28" s="159">
        <v>3172</v>
      </c>
      <c r="AL28" s="158">
        <v>3135</v>
      </c>
      <c r="AM28" s="159">
        <f>SUM(AN28:AY28)</f>
        <v>34863</v>
      </c>
      <c r="AN28" s="164">
        <v>2741</v>
      </c>
      <c r="AO28" s="159">
        <v>3113</v>
      </c>
      <c r="AP28" s="165">
        <v>3371</v>
      </c>
      <c r="AQ28" s="194">
        <v>3204</v>
      </c>
      <c r="AR28" s="194">
        <v>2664</v>
      </c>
      <c r="AS28" s="194">
        <v>3041</v>
      </c>
      <c r="AT28" s="194">
        <v>3006</v>
      </c>
      <c r="AU28" s="194">
        <v>2386</v>
      </c>
      <c r="AV28" s="194">
        <v>2837</v>
      </c>
      <c r="AW28" s="194">
        <v>3030</v>
      </c>
      <c r="AX28" s="194">
        <v>2733</v>
      </c>
      <c r="AY28" s="195">
        <v>2737</v>
      </c>
      <c r="AZ28" s="168">
        <f>SUM(BA28:BL28)</f>
        <v>35520</v>
      </c>
      <c r="BA28" s="234">
        <v>2330</v>
      </c>
      <c r="BB28" s="170">
        <v>2896</v>
      </c>
      <c r="BC28" s="170">
        <v>2854</v>
      </c>
      <c r="BD28" s="170">
        <v>2922</v>
      </c>
      <c r="BE28" s="170">
        <v>2605</v>
      </c>
      <c r="BF28" s="170">
        <v>2800</v>
      </c>
      <c r="BG28" s="170">
        <v>3141</v>
      </c>
      <c r="BH28" s="170">
        <v>2566</v>
      </c>
      <c r="BI28" s="170">
        <v>3192</v>
      </c>
      <c r="BJ28" s="170">
        <v>3304</v>
      </c>
      <c r="BK28" s="170">
        <v>3450</v>
      </c>
      <c r="BL28" s="170">
        <v>3460</v>
      </c>
      <c r="BM28" s="171">
        <v>3239</v>
      </c>
      <c r="BN28" s="171">
        <v>3745</v>
      </c>
      <c r="BO28" s="171">
        <v>3602</v>
      </c>
      <c r="BP28" s="171">
        <v>3329</v>
      </c>
      <c r="BQ28" s="171">
        <v>3047</v>
      </c>
      <c r="BR28" s="171">
        <v>3580</v>
      </c>
      <c r="BS28" s="171">
        <v>3938</v>
      </c>
      <c r="BT28" s="171">
        <v>3257</v>
      </c>
      <c r="BU28" s="171">
        <v>3888</v>
      </c>
      <c r="BV28" s="171">
        <v>4109</v>
      </c>
      <c r="BW28" s="171">
        <v>3842</v>
      </c>
      <c r="BX28" s="171">
        <v>4455</v>
      </c>
      <c r="BY28" s="168">
        <f>SUM(BM28:BX28)</f>
        <v>44031</v>
      </c>
      <c r="BZ28" s="170">
        <v>4058</v>
      </c>
      <c r="CA28" s="170">
        <v>4431</v>
      </c>
      <c r="CB28" s="170">
        <v>4845</v>
      </c>
      <c r="CC28" s="170">
        <v>4742</v>
      </c>
      <c r="CD28" s="170">
        <v>4089</v>
      </c>
      <c r="CE28" s="223">
        <v>4704</v>
      </c>
      <c r="CF28" s="224">
        <v>4734</v>
      </c>
      <c r="CG28" s="224">
        <v>4271</v>
      </c>
      <c r="CH28" s="224">
        <v>5148</v>
      </c>
      <c r="CI28" s="224">
        <v>4973</v>
      </c>
      <c r="CJ28" s="200">
        <v>4970</v>
      </c>
      <c r="CK28" s="341">
        <v>4852</v>
      </c>
      <c r="CL28" s="337">
        <f>SUM(BZ28:CK28)</f>
        <v>55817</v>
      </c>
      <c r="CM28" s="279">
        <v>4288</v>
      </c>
      <c r="CN28" s="280">
        <v>4706</v>
      </c>
      <c r="CO28" s="280">
        <v>4749</v>
      </c>
      <c r="CP28" s="362">
        <v>4635</v>
      </c>
      <c r="CQ28" s="362">
        <v>4034</v>
      </c>
      <c r="CR28" s="362">
        <v>4590</v>
      </c>
      <c r="CS28" s="362">
        <v>4074</v>
      </c>
      <c r="CT28" s="362">
        <v>3501</v>
      </c>
      <c r="CU28" s="362">
        <v>4238</v>
      </c>
      <c r="CV28" s="362">
        <v>4159</v>
      </c>
      <c r="CW28" s="362">
        <v>4219</v>
      </c>
      <c r="CX28" s="354">
        <v>4233</v>
      </c>
      <c r="CY28" s="337">
        <f>SUM(CM28:CX28)</f>
        <v>51426</v>
      </c>
      <c r="CZ28" s="362">
        <v>3654</v>
      </c>
      <c r="DA28" s="362">
        <v>4220</v>
      </c>
      <c r="DB28" s="362">
        <v>4552</v>
      </c>
      <c r="DC28" s="362">
        <v>4309</v>
      </c>
      <c r="DD28" s="362">
        <v>3583</v>
      </c>
      <c r="DE28" s="362">
        <v>4399</v>
      </c>
      <c r="DF28" s="362">
        <v>4354</v>
      </c>
      <c r="DG28" s="362">
        <v>3609</v>
      </c>
      <c r="DH28" s="362">
        <v>4316</v>
      </c>
      <c r="DI28" s="362">
        <v>4614</v>
      </c>
      <c r="DJ28" s="362">
        <v>4754</v>
      </c>
      <c r="DK28" s="362">
        <v>4408</v>
      </c>
      <c r="DL28" s="337">
        <f>SUM(CZ28:DK28)</f>
        <v>50772</v>
      </c>
      <c r="DM28" s="362">
        <v>3832</v>
      </c>
      <c r="DN28" s="362">
        <v>4515</v>
      </c>
      <c r="DO28" s="362">
        <v>4701</v>
      </c>
      <c r="DP28" s="362">
        <v>4434</v>
      </c>
      <c r="DQ28" s="362">
        <v>4064</v>
      </c>
      <c r="DR28" s="362">
        <v>4574</v>
      </c>
      <c r="DS28" s="362">
        <v>4634</v>
      </c>
      <c r="DT28" s="362">
        <v>3728</v>
      </c>
      <c r="DU28" s="362">
        <v>4458</v>
      </c>
      <c r="DV28" s="362">
        <v>4804</v>
      </c>
      <c r="DW28" s="362">
        <v>4799</v>
      </c>
      <c r="DX28" s="280">
        <v>4568</v>
      </c>
      <c r="DY28" s="365">
        <f>SUM(DM28:DX28)</f>
        <v>53111</v>
      </c>
      <c r="DZ28" s="392">
        <v>3910</v>
      </c>
      <c r="EA28" s="392">
        <v>4683</v>
      </c>
      <c r="EB28" s="392">
        <v>4877</v>
      </c>
      <c r="EC28" s="392">
        <v>4699</v>
      </c>
      <c r="ED28" s="392">
        <v>4289</v>
      </c>
      <c r="EE28" s="392">
        <v>4797</v>
      </c>
      <c r="EF28" s="392">
        <v>4725</v>
      </c>
      <c r="EG28" s="392">
        <v>3791</v>
      </c>
      <c r="EH28" s="392">
        <v>4503</v>
      </c>
      <c r="EI28" s="392">
        <v>4586</v>
      </c>
      <c r="EJ28" s="392">
        <v>4212</v>
      </c>
      <c r="EK28" s="392">
        <v>3593</v>
      </c>
      <c r="EL28" s="365">
        <f>SUM(DZ28:EK28)</f>
        <v>52665</v>
      </c>
      <c r="EM28" s="392">
        <v>2427</v>
      </c>
      <c r="EN28" s="392">
        <v>2223</v>
      </c>
      <c r="EO28" s="392">
        <v>2117</v>
      </c>
      <c r="EP28" s="392">
        <v>2427</v>
      </c>
      <c r="EQ28" s="392">
        <v>2345</v>
      </c>
      <c r="ER28" s="392">
        <v>2929</v>
      </c>
      <c r="ES28" s="392">
        <v>2997</v>
      </c>
      <c r="ET28" s="392">
        <v>2629</v>
      </c>
      <c r="EU28" s="392">
        <v>3339</v>
      </c>
      <c r="EV28" s="392">
        <v>3469</v>
      </c>
      <c r="EW28" s="392">
        <v>3485</v>
      </c>
      <c r="EX28" s="392">
        <v>3530</v>
      </c>
      <c r="EY28" s="365">
        <f>SUM(EM28:EX28)</f>
        <v>33917</v>
      </c>
      <c r="EZ28" s="392">
        <v>3248</v>
      </c>
      <c r="FA28" s="392">
        <v>3746</v>
      </c>
      <c r="FB28" s="392">
        <v>3973</v>
      </c>
      <c r="FC28" s="392">
        <v>3861</v>
      </c>
      <c r="FD28" s="392">
        <v>3370</v>
      </c>
      <c r="FE28" s="392">
        <v>3912</v>
      </c>
      <c r="FF28" s="392">
        <v>3909</v>
      </c>
      <c r="FG28" s="392">
        <v>3281</v>
      </c>
      <c r="FH28" s="392">
        <v>3981.5</v>
      </c>
      <c r="FI28" s="392">
        <v>4099.7</v>
      </c>
      <c r="FJ28" s="392">
        <v>4227.5</v>
      </c>
      <c r="FK28" s="392">
        <v>4269.3999999999996</v>
      </c>
      <c r="FL28" s="365">
        <f>SUM(EZ28:FK28)</f>
        <v>45878.1</v>
      </c>
      <c r="FM28" s="392">
        <v>3975.3</v>
      </c>
      <c r="FN28" s="392">
        <v>4405.3</v>
      </c>
      <c r="FO28" s="392">
        <v>4688</v>
      </c>
      <c r="FP28" s="392">
        <v>4487.2</v>
      </c>
      <c r="FQ28" s="392">
        <v>3767.1</v>
      </c>
      <c r="FR28" s="392">
        <v>4441</v>
      </c>
      <c r="FS28" s="392">
        <v>4903.6000000000004</v>
      </c>
      <c r="FT28" s="392">
        <v>4365.1000000000004</v>
      </c>
      <c r="FU28" s="392">
        <v>4945.5</v>
      </c>
      <c r="FV28" s="392">
        <v>4931.7</v>
      </c>
      <c r="FW28" s="392">
        <v>4839.7</v>
      </c>
      <c r="FX28" s="392">
        <v>4725.3</v>
      </c>
      <c r="FY28" s="365">
        <f>SUM(FM28:FX28)</f>
        <v>54474.799999999996</v>
      </c>
      <c r="FZ28" s="392">
        <v>4131.5</v>
      </c>
      <c r="GA28" s="392">
        <v>4892.8</v>
      </c>
      <c r="GB28" s="392">
        <v>5073.3999999999996</v>
      </c>
      <c r="GC28" s="392">
        <v>4891</v>
      </c>
      <c r="GD28" s="416">
        <v>4184.3999999999996</v>
      </c>
      <c r="GE28" s="416">
        <v>4963.2</v>
      </c>
      <c r="GF28" s="416">
        <v>4912.3</v>
      </c>
      <c r="GG28" s="416">
        <v>4009.7</v>
      </c>
      <c r="GH28" s="416">
        <v>4637.3999999999996</v>
      </c>
      <c r="GI28" s="416">
        <v>4852.1000000000004</v>
      </c>
      <c r="GJ28" s="416">
        <v>4636.8999999999996</v>
      </c>
      <c r="GK28" s="416">
        <v>4564.7</v>
      </c>
      <c r="GL28" s="365">
        <f>SUM(FZ28:GK28)</f>
        <v>55749.399999999994</v>
      </c>
      <c r="GM28" s="392">
        <v>3974.5</v>
      </c>
      <c r="GN28" s="392">
        <v>4901.1000000000004</v>
      </c>
      <c r="GO28" s="392">
        <v>4977.7</v>
      </c>
      <c r="GP28" s="392">
        <v>5140.6000000000004</v>
      </c>
      <c r="GQ28" s="392">
        <v>4565.6000000000004</v>
      </c>
      <c r="GR28" s="392">
        <v>5007.3999999999996</v>
      </c>
      <c r="GS28" s="279">
        <v>5265.9</v>
      </c>
      <c r="GT28" s="21">
        <v>4221.8</v>
      </c>
      <c r="GU28" s="21">
        <v>5184.5</v>
      </c>
      <c r="GV28" s="21">
        <v>5272.3</v>
      </c>
      <c r="GW28" s="21">
        <v>5169.8999999999996</v>
      </c>
      <c r="GX28" s="21">
        <v>5181.5</v>
      </c>
      <c r="GY28" s="365">
        <f>SUM(GM28:GX28)</f>
        <v>58862.80000000001</v>
      </c>
      <c r="GZ28" s="21">
        <v>4373.5</v>
      </c>
      <c r="HA28" s="21">
        <v>5157.3</v>
      </c>
      <c r="HB28" s="21">
        <v>5282.1</v>
      </c>
      <c r="HC28" s="21">
        <v>5200</v>
      </c>
      <c r="HD28" s="21">
        <v>4803.8999999999996</v>
      </c>
      <c r="HE28" s="21">
        <v>5829.3</v>
      </c>
      <c r="HF28" s="21">
        <v>5482.1</v>
      </c>
      <c r="HG28" s="21">
        <v>4071.3</v>
      </c>
      <c r="HH28" s="21">
        <v>5561.5</v>
      </c>
      <c r="HI28" s="21">
        <v>5150</v>
      </c>
      <c r="HJ28" s="21">
        <v>4778.7</v>
      </c>
      <c r="HK28" s="21">
        <v>4873.2</v>
      </c>
      <c r="HL28" s="365">
        <f>SUM(GZ28:HK28)</f>
        <v>60562.9</v>
      </c>
      <c r="HM28" s="21">
        <v>4610</v>
      </c>
      <c r="HN28" s="428">
        <v>5318.6834224598897</v>
      </c>
      <c r="HO28" s="400">
        <v>5446.5759893048125</v>
      </c>
      <c r="HP28" s="425">
        <v>5520.871122994653</v>
      </c>
      <c r="HQ28" s="432">
        <v>4210.058288770053</v>
      </c>
      <c r="HR28" s="432">
        <v>5080.6705882352944</v>
      </c>
      <c r="HS28" s="432">
        <v>5003.4705882352937</v>
      </c>
      <c r="HT28" s="432">
        <v>3933.4283422459894</v>
      </c>
      <c r="HU28" s="432">
        <v>4815.1558823529413</v>
      </c>
      <c r="HV28" s="432">
        <v>4866.972192513369</v>
      </c>
      <c r="HW28" s="432">
        <v>4998.2711229946526</v>
      </c>
      <c r="HX28" s="432">
        <v>4533.2941176470586</v>
      </c>
      <c r="HY28" s="456">
        <f>SUM(HM28:HX28)</f>
        <v>58337.451657754013</v>
      </c>
      <c r="HZ28" s="432">
        <v>4584.8941176470589</v>
      </c>
      <c r="IA28" s="432">
        <v>4928.4406417112295</v>
      </c>
      <c r="IB28" s="432">
        <v>5029.3406417112301</v>
      </c>
      <c r="IC28" s="432">
        <v>5134.3406417112301</v>
      </c>
      <c r="ID28" s="432">
        <v>4240.9406417112295</v>
      </c>
      <c r="IE28" s="432">
        <v>4511.0406417112299</v>
      </c>
      <c r="IF28" s="432">
        <v>5085.1149732620324</v>
      </c>
      <c r="IG28" s="432">
        <v>4382.3481283422461</v>
      </c>
      <c r="IH28" s="432">
        <v>5519.1742245989299</v>
      </c>
      <c r="II28" s="432">
        <v>5205.68</v>
      </c>
      <c r="IJ28" s="432">
        <v>5474.9106951871654</v>
      </c>
      <c r="IK28" s="432">
        <f>'[1]３地区計'!N9</f>
        <v>5413</v>
      </c>
      <c r="IL28" s="466">
        <f>SUM(HZ28:IK28)</f>
        <v>59509.225347593579</v>
      </c>
      <c r="IM28" s="432">
        <v>4581</v>
      </c>
      <c r="IN28" s="503">
        <v>5485</v>
      </c>
      <c r="IO28" s="503">
        <v>5778</v>
      </c>
      <c r="IP28" s="503">
        <v>5791</v>
      </c>
      <c r="IQ28" s="503">
        <v>4765</v>
      </c>
      <c r="IR28" s="503">
        <v>5766</v>
      </c>
      <c r="IS28" s="503">
        <v>5836</v>
      </c>
      <c r="IT28" s="503">
        <v>4773</v>
      </c>
      <c r="IU28" s="503">
        <v>5736</v>
      </c>
      <c r="IV28" s="503">
        <v>5809</v>
      </c>
      <c r="IW28" s="517">
        <v>5804</v>
      </c>
      <c r="IX28" s="503">
        <v>5846</v>
      </c>
      <c r="IY28" s="466">
        <f>SUM(IM28:IX28)</f>
        <v>65970</v>
      </c>
      <c r="IZ28" s="503">
        <v>5194</v>
      </c>
      <c r="JA28" s="503">
        <v>5856</v>
      </c>
      <c r="JB28" s="503">
        <v>6056</v>
      </c>
      <c r="JC28" s="503">
        <v>6009</v>
      </c>
      <c r="JD28" s="503">
        <v>5604</v>
      </c>
      <c r="JE28" s="503">
        <v>6511</v>
      </c>
      <c r="JF28" s="503">
        <v>6395</v>
      </c>
      <c r="JG28" s="503">
        <v>5211</v>
      </c>
      <c r="JH28" s="503">
        <v>6597</v>
      </c>
      <c r="JI28" s="503">
        <v>6508</v>
      </c>
      <c r="JJ28" s="503">
        <v>6233</v>
      </c>
      <c r="JK28" s="503">
        <v>6186</v>
      </c>
      <c r="JL28" s="512">
        <f>SUM(IZ28:JK28)</f>
        <v>72360</v>
      </c>
      <c r="JM28" s="503">
        <v>5095</v>
      </c>
      <c r="JN28" s="503">
        <v>6302</v>
      </c>
    </row>
    <row r="29" spans="1:274" ht="13.5" customHeight="1" thickBot="1" x14ac:dyDescent="0.35">
      <c r="A29" s="544"/>
      <c r="B29" s="76" t="s">
        <v>102</v>
      </c>
      <c r="C29" s="250"/>
      <c r="D29" s="251"/>
      <c r="E29" s="251"/>
      <c r="F29" s="251"/>
      <c r="G29" s="252"/>
      <c r="H29" s="174">
        <f t="shared" ref="H29:M29" si="295">(H28/G28-1)*100</f>
        <v>16.087467921300245</v>
      </c>
      <c r="I29" s="174">
        <f t="shared" si="295"/>
        <v>9.5472758255423109</v>
      </c>
      <c r="J29" s="174">
        <f t="shared" si="295"/>
        <v>11.733792987471613</v>
      </c>
      <c r="K29" s="174">
        <f t="shared" si="295"/>
        <v>14.275501373367948</v>
      </c>
      <c r="L29" s="174">
        <f t="shared" si="295"/>
        <v>-12.87083072668006</v>
      </c>
      <c r="M29" s="174">
        <f t="shared" si="295"/>
        <v>2.9778550374121471</v>
      </c>
      <c r="N29" s="174">
        <f>(N28/M28-1)*100</f>
        <v>29.603669724770644</v>
      </c>
      <c r="O29" s="175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7"/>
      <c r="AA29" s="174">
        <f t="shared" ref="AA29:AL29" si="296">(AA28/O28-1)*100</f>
        <v>24.24397744746285</v>
      </c>
      <c r="AB29" s="174">
        <f t="shared" si="296"/>
        <v>26.171380329252859</v>
      </c>
      <c r="AC29" s="174">
        <f t="shared" si="296"/>
        <v>33.34719334719334</v>
      </c>
      <c r="AD29" s="174">
        <f t="shared" si="296"/>
        <v>32.582781456953633</v>
      </c>
      <c r="AE29" s="174">
        <f t="shared" si="296"/>
        <v>28.975095785440619</v>
      </c>
      <c r="AF29" s="174">
        <f t="shared" si="296"/>
        <v>32.053985660059034</v>
      </c>
      <c r="AG29" s="174">
        <f t="shared" si="296"/>
        <v>27.152317880794708</v>
      </c>
      <c r="AH29" s="174">
        <f t="shared" si="296"/>
        <v>35.202492211837999</v>
      </c>
      <c r="AI29" s="174">
        <f t="shared" si="296"/>
        <v>27.546196819939837</v>
      </c>
      <c r="AJ29" s="174">
        <f t="shared" si="296"/>
        <v>29.140722291407229</v>
      </c>
      <c r="AK29" s="174">
        <f t="shared" si="296"/>
        <v>26.62674650698602</v>
      </c>
      <c r="AL29" s="178">
        <f t="shared" si="296"/>
        <v>32.334318277754328</v>
      </c>
      <c r="AM29" s="174">
        <f>(AM28/N28-1)*100</f>
        <v>-1.2854999008975798</v>
      </c>
      <c r="AN29" s="179">
        <f t="shared" ref="AN29:AY29" si="297">(AN28/AA28-1)*100</f>
        <v>13.077557755775571</v>
      </c>
      <c r="AO29" s="174">
        <f t="shared" si="297"/>
        <v>4.1485446637671508</v>
      </c>
      <c r="AP29" s="178">
        <f t="shared" si="297"/>
        <v>5.1138135328967937</v>
      </c>
      <c r="AQ29" s="174">
        <f t="shared" si="297"/>
        <v>6.6933066933066998</v>
      </c>
      <c r="AR29" s="174">
        <f t="shared" si="297"/>
        <v>-1.0768659487560339</v>
      </c>
      <c r="AS29" s="180">
        <f t="shared" si="297"/>
        <v>-2.8744809964867502</v>
      </c>
      <c r="AT29" s="174">
        <f t="shared" si="297"/>
        <v>4.3749999999999956</v>
      </c>
      <c r="AU29" s="180">
        <f t="shared" si="297"/>
        <v>-8.3717357910906287</v>
      </c>
      <c r="AV29" s="174">
        <f t="shared" si="297"/>
        <v>-4.4137466307277666</v>
      </c>
      <c r="AW29" s="180">
        <f t="shared" si="297"/>
        <v>-2.6036644165863043</v>
      </c>
      <c r="AX29" s="174">
        <f t="shared" si="297"/>
        <v>-13.839848675914245</v>
      </c>
      <c r="AY29" s="181">
        <f t="shared" si="297"/>
        <v>-12.695374800637961</v>
      </c>
      <c r="AZ29" s="182">
        <f t="shared" ref="AZ29:BL29" si="298">(AZ28/AM28-1)*100</f>
        <v>1.884519404526297</v>
      </c>
      <c r="BA29" s="225">
        <f t="shared" si="298"/>
        <v>-14.994527544691715</v>
      </c>
      <c r="BB29" s="184">
        <f t="shared" si="298"/>
        <v>-6.9707677481529062</v>
      </c>
      <c r="BC29" s="184">
        <f t="shared" si="298"/>
        <v>-15.336695342628303</v>
      </c>
      <c r="BD29" s="184">
        <f t="shared" si="298"/>
        <v>-8.8014981273408228</v>
      </c>
      <c r="BE29" s="184">
        <f t="shared" si="298"/>
        <v>-2.2147147147147161</v>
      </c>
      <c r="BF29" s="184">
        <f t="shared" si="298"/>
        <v>-7.9250246629398173</v>
      </c>
      <c r="BG29" s="184">
        <f t="shared" si="298"/>
        <v>4.4910179640718528</v>
      </c>
      <c r="BH29" s="184">
        <f t="shared" si="298"/>
        <v>7.5440067057837457</v>
      </c>
      <c r="BI29" s="184">
        <f t="shared" si="298"/>
        <v>12.513218188226993</v>
      </c>
      <c r="BJ29" s="184">
        <f t="shared" si="298"/>
        <v>9.0429042904290426</v>
      </c>
      <c r="BK29" s="184">
        <f t="shared" si="298"/>
        <v>26.23490669593853</v>
      </c>
      <c r="BL29" s="184">
        <f t="shared" si="298"/>
        <v>26.415783704786257</v>
      </c>
      <c r="BM29" s="185">
        <f t="shared" ref="BM29:BX29" si="299">(BM28/BA28-1)*100</f>
        <v>39.012875536480692</v>
      </c>
      <c r="BN29" s="185">
        <f t="shared" si="299"/>
        <v>29.316298342541437</v>
      </c>
      <c r="BO29" s="185">
        <f t="shared" si="299"/>
        <v>26.208829712683944</v>
      </c>
      <c r="BP29" s="185">
        <f t="shared" si="299"/>
        <v>13.928815879534561</v>
      </c>
      <c r="BQ29" s="185">
        <f t="shared" si="299"/>
        <v>16.96737044145873</v>
      </c>
      <c r="BR29" s="185">
        <f t="shared" si="299"/>
        <v>27.857142857142847</v>
      </c>
      <c r="BS29" s="185">
        <f t="shared" si="299"/>
        <v>25.374084686405606</v>
      </c>
      <c r="BT29" s="185">
        <f t="shared" si="299"/>
        <v>26.929072486360095</v>
      </c>
      <c r="BU29" s="185">
        <f t="shared" si="299"/>
        <v>21.804511278195491</v>
      </c>
      <c r="BV29" s="185">
        <f t="shared" si="299"/>
        <v>24.364406779661007</v>
      </c>
      <c r="BW29" s="185">
        <f t="shared" si="299"/>
        <v>11.3623188405797</v>
      </c>
      <c r="BX29" s="185">
        <f t="shared" si="299"/>
        <v>28.757225433526013</v>
      </c>
      <c r="BY29" s="182">
        <f>(BY28/AZ28-1)*100</f>
        <v>23.961148648648646</v>
      </c>
      <c r="BZ29" s="184">
        <f t="shared" ref="BZ29:CK29" si="300">(BZ28/BM28-1)*100</f>
        <v>25.285581969743752</v>
      </c>
      <c r="CA29" s="184">
        <f t="shared" si="300"/>
        <v>18.31775700934579</v>
      </c>
      <c r="CB29" s="184">
        <f t="shared" si="300"/>
        <v>34.508606329816757</v>
      </c>
      <c r="CC29" s="184">
        <f t="shared" si="300"/>
        <v>42.445178732352048</v>
      </c>
      <c r="CD29" s="184">
        <f t="shared" si="300"/>
        <v>34.197571381686906</v>
      </c>
      <c r="CE29" s="186">
        <f t="shared" si="300"/>
        <v>31.396648044692732</v>
      </c>
      <c r="CF29" s="186">
        <f t="shared" si="300"/>
        <v>20.213306246825802</v>
      </c>
      <c r="CG29" s="186">
        <f t="shared" si="300"/>
        <v>31.132944427387166</v>
      </c>
      <c r="CH29" s="186">
        <f t="shared" si="300"/>
        <v>32.407407407407419</v>
      </c>
      <c r="CI29" s="186">
        <f t="shared" si="300"/>
        <v>21.027013871988309</v>
      </c>
      <c r="CJ29" s="186">
        <f t="shared" si="300"/>
        <v>29.359708485163981</v>
      </c>
      <c r="CK29" s="340">
        <f t="shared" si="300"/>
        <v>8.9113355780022552</v>
      </c>
      <c r="CL29" s="346">
        <f t="shared" ref="CL29:EL29" si="301">(CL28/BY28-1)*100</f>
        <v>26.767504712588863</v>
      </c>
      <c r="CM29" s="269">
        <f t="shared" si="301"/>
        <v>5.6678166584524403</v>
      </c>
      <c r="CN29" s="270">
        <f t="shared" si="301"/>
        <v>6.2062739787858368</v>
      </c>
      <c r="CO29" s="270">
        <f t="shared" si="301"/>
        <v>-1.981424148606814</v>
      </c>
      <c r="CP29" s="357">
        <f t="shared" si="301"/>
        <v>-2.2564318852804743</v>
      </c>
      <c r="CQ29" s="357">
        <f t="shared" si="301"/>
        <v>-1.3450721447786695</v>
      </c>
      <c r="CR29" s="357">
        <f t="shared" si="301"/>
        <v>-2.4234693877551061</v>
      </c>
      <c r="CS29" s="357">
        <f t="shared" si="301"/>
        <v>-13.941698352344744</v>
      </c>
      <c r="CT29" s="357">
        <f t="shared" si="301"/>
        <v>-18.028564738937014</v>
      </c>
      <c r="CU29" s="357">
        <f t="shared" si="301"/>
        <v>-17.676767676767678</v>
      </c>
      <c r="CV29" s="357">
        <f t="shared" si="301"/>
        <v>-16.368389302232057</v>
      </c>
      <c r="CW29" s="357">
        <f t="shared" si="301"/>
        <v>-15.110663983903416</v>
      </c>
      <c r="CX29" s="349">
        <f t="shared" si="301"/>
        <v>-12.757625721352017</v>
      </c>
      <c r="CY29" s="346">
        <f t="shared" si="301"/>
        <v>-7.8667789383162878</v>
      </c>
      <c r="CZ29" s="357">
        <f t="shared" si="301"/>
        <v>-14.785447761194026</v>
      </c>
      <c r="DA29" s="357">
        <f t="shared" si="301"/>
        <v>-10.327241818954525</v>
      </c>
      <c r="DB29" s="357">
        <f t="shared" si="301"/>
        <v>-4.1482417351021317</v>
      </c>
      <c r="DC29" s="357">
        <f t="shared" si="301"/>
        <v>-7.0334412081984876</v>
      </c>
      <c r="DD29" s="357">
        <f t="shared" si="301"/>
        <v>-11.179970252850769</v>
      </c>
      <c r="DE29" s="357">
        <f t="shared" si="301"/>
        <v>-4.1612200435729889</v>
      </c>
      <c r="DF29" s="357">
        <f t="shared" si="301"/>
        <v>6.8728522336769737</v>
      </c>
      <c r="DG29" s="357">
        <f t="shared" si="301"/>
        <v>3.084832904884327</v>
      </c>
      <c r="DH29" s="357">
        <f t="shared" si="301"/>
        <v>1.8404907975460016</v>
      </c>
      <c r="DI29" s="357">
        <f t="shared" si="301"/>
        <v>10.940129838903578</v>
      </c>
      <c r="DJ29" s="357">
        <f t="shared" si="301"/>
        <v>12.680730030812981</v>
      </c>
      <c r="DK29" s="357">
        <f t="shared" si="301"/>
        <v>4.1341837939995241</v>
      </c>
      <c r="DL29" s="346">
        <f t="shared" si="301"/>
        <v>-1.2717302531793262</v>
      </c>
      <c r="DM29" s="357">
        <f t="shared" si="301"/>
        <v>4.8713738368910686</v>
      </c>
      <c r="DN29" s="357">
        <f t="shared" si="301"/>
        <v>6.9905213270142097</v>
      </c>
      <c r="DO29" s="357">
        <f t="shared" si="301"/>
        <v>3.2732864674868134</v>
      </c>
      <c r="DP29" s="357">
        <f t="shared" si="301"/>
        <v>2.9009050823856963</v>
      </c>
      <c r="DQ29" s="357">
        <f t="shared" si="301"/>
        <v>13.424504605079534</v>
      </c>
      <c r="DR29" s="357">
        <f t="shared" si="301"/>
        <v>3.9781768583769139</v>
      </c>
      <c r="DS29" s="357">
        <f t="shared" si="301"/>
        <v>6.4308681672025747</v>
      </c>
      <c r="DT29" s="357">
        <f t="shared" si="301"/>
        <v>3.2973122748683803</v>
      </c>
      <c r="DU29" s="357">
        <f t="shared" si="301"/>
        <v>3.2900834105653365</v>
      </c>
      <c r="DV29" s="357">
        <f t="shared" si="301"/>
        <v>4.117902037277843</v>
      </c>
      <c r="DW29" s="357">
        <f t="shared" si="301"/>
        <v>0.94657130837190184</v>
      </c>
      <c r="DX29" s="270">
        <f t="shared" si="301"/>
        <v>3.6297640653357499</v>
      </c>
      <c r="DY29" s="346">
        <f t="shared" si="301"/>
        <v>4.6068699283069448</v>
      </c>
      <c r="DZ29" s="387">
        <f t="shared" si="301"/>
        <v>2.0354906054279809</v>
      </c>
      <c r="EA29" s="387">
        <f t="shared" si="301"/>
        <v>3.7209302325581506</v>
      </c>
      <c r="EB29" s="387">
        <f t="shared" si="301"/>
        <v>3.7438842799404348</v>
      </c>
      <c r="EC29" s="387">
        <f t="shared" si="301"/>
        <v>5.9765448804691035</v>
      </c>
      <c r="ED29" s="387">
        <f t="shared" si="301"/>
        <v>5.5364173228346525</v>
      </c>
      <c r="EE29" s="387">
        <f t="shared" si="301"/>
        <v>4.8753825972890352</v>
      </c>
      <c r="EF29" s="387">
        <f t="shared" si="301"/>
        <v>1.9637462235649439</v>
      </c>
      <c r="EG29" s="387">
        <f t="shared" si="301"/>
        <v>1.6899141630901227</v>
      </c>
      <c r="EH29" s="387">
        <f t="shared" si="301"/>
        <v>1.0094212651413192</v>
      </c>
      <c r="EI29" s="387">
        <f t="shared" si="301"/>
        <v>-4.5378850957535359</v>
      </c>
      <c r="EJ29" s="387">
        <f t="shared" si="301"/>
        <v>-12.231714940612626</v>
      </c>
      <c r="EK29" s="387">
        <f t="shared" si="301"/>
        <v>-21.34413309982487</v>
      </c>
      <c r="EL29" s="346">
        <f t="shared" si="301"/>
        <v>-0.8397507107755442</v>
      </c>
      <c r="EM29" s="387">
        <f t="shared" ref="EM29:EX29" si="302">(EM28/DZ28-1)*100</f>
        <v>-37.928388746803066</v>
      </c>
      <c r="EN29" s="387">
        <f t="shared" si="302"/>
        <v>-52.530429212043558</v>
      </c>
      <c r="EO29" s="387">
        <f t="shared" si="302"/>
        <v>-56.592167315972944</v>
      </c>
      <c r="EP29" s="387">
        <f t="shared" si="302"/>
        <v>-48.350712917642049</v>
      </c>
      <c r="EQ29" s="387">
        <f t="shared" si="302"/>
        <v>-45.325250641175096</v>
      </c>
      <c r="ER29" s="387">
        <f t="shared" si="302"/>
        <v>-38.941004794663336</v>
      </c>
      <c r="ES29" s="387">
        <f t="shared" si="302"/>
        <v>-36.571428571428577</v>
      </c>
      <c r="ET29" s="387">
        <f t="shared" si="302"/>
        <v>-30.651543128462144</v>
      </c>
      <c r="EU29" s="387">
        <f t="shared" si="302"/>
        <v>-25.849433710859426</v>
      </c>
      <c r="EV29" s="387">
        <f t="shared" si="302"/>
        <v>-24.356737897950286</v>
      </c>
      <c r="EW29" s="387">
        <f t="shared" si="302"/>
        <v>-17.260208926875599</v>
      </c>
      <c r="EX29" s="387">
        <f t="shared" si="302"/>
        <v>-1.7534094071806283</v>
      </c>
      <c r="EY29" s="346">
        <f t="shared" ref="EY29:FX29" si="303">(EY28/EL28-1)*100</f>
        <v>-35.598594892243426</v>
      </c>
      <c r="EZ29" s="387">
        <f t="shared" si="303"/>
        <v>33.827770910589194</v>
      </c>
      <c r="FA29" s="387">
        <f t="shared" si="303"/>
        <v>68.511021142600086</v>
      </c>
      <c r="FB29" s="387">
        <f t="shared" si="303"/>
        <v>87.671232876712324</v>
      </c>
      <c r="FC29" s="387">
        <f t="shared" si="303"/>
        <v>59.085290482076644</v>
      </c>
      <c r="FD29" s="387">
        <f t="shared" si="303"/>
        <v>43.710021321961619</v>
      </c>
      <c r="FE29" s="387">
        <f t="shared" si="303"/>
        <v>33.560942301126673</v>
      </c>
      <c r="FF29" s="387">
        <f t="shared" si="303"/>
        <v>30.430430430430434</v>
      </c>
      <c r="FG29" s="387">
        <f t="shared" si="303"/>
        <v>24.80030429821225</v>
      </c>
      <c r="FH29" s="387">
        <f t="shared" si="303"/>
        <v>19.242288110212648</v>
      </c>
      <c r="FI29" s="387">
        <f t="shared" si="303"/>
        <v>18.181031997693854</v>
      </c>
      <c r="FJ29" s="387">
        <f t="shared" si="303"/>
        <v>21.305595408895272</v>
      </c>
      <c r="FK29" s="387">
        <f t="shared" si="303"/>
        <v>20.946175637393761</v>
      </c>
      <c r="FL29" s="346">
        <f t="shared" si="303"/>
        <v>35.265795913553674</v>
      </c>
      <c r="FM29" s="387">
        <f t="shared" si="303"/>
        <v>22.392241379310352</v>
      </c>
      <c r="FN29" s="387">
        <f t="shared" si="303"/>
        <v>17.600106780565937</v>
      </c>
      <c r="FO29" s="387">
        <f t="shared" si="303"/>
        <v>17.996476214447512</v>
      </c>
      <c r="FP29" s="387">
        <f t="shared" si="303"/>
        <v>16.218596218596204</v>
      </c>
      <c r="FQ29" s="387">
        <f t="shared" si="303"/>
        <v>11.783382789317498</v>
      </c>
      <c r="FR29" s="387">
        <f t="shared" si="303"/>
        <v>13.522494887525571</v>
      </c>
      <c r="FS29" s="387">
        <f t="shared" si="303"/>
        <v>25.443847531337948</v>
      </c>
      <c r="FT29" s="387">
        <f t="shared" si="303"/>
        <v>33.041755562328575</v>
      </c>
      <c r="FU29" s="387">
        <f t="shared" si="303"/>
        <v>24.211980409393451</v>
      </c>
      <c r="FV29" s="387">
        <f t="shared" si="303"/>
        <v>20.294167865941404</v>
      </c>
      <c r="FW29" s="387">
        <f t="shared" si="303"/>
        <v>14.481371969248968</v>
      </c>
      <c r="FX29" s="387">
        <f t="shared" si="303"/>
        <v>10.678315454162203</v>
      </c>
      <c r="FY29" s="346">
        <f t="shared" ref="FY29:HY29" si="304">(FY28/FL28-1)*100</f>
        <v>18.738134316809109</v>
      </c>
      <c r="FZ29" s="387">
        <f t="shared" si="304"/>
        <v>3.9292632002616124</v>
      </c>
      <c r="GA29" s="387">
        <f t="shared" si="304"/>
        <v>11.066215694731341</v>
      </c>
      <c r="GB29" s="387">
        <f t="shared" si="304"/>
        <v>8.2209897610921345</v>
      </c>
      <c r="GC29" s="387">
        <f t="shared" si="304"/>
        <v>8.99893029060439</v>
      </c>
      <c r="GD29" s="411">
        <f t="shared" si="304"/>
        <v>11.077486660826619</v>
      </c>
      <c r="GE29" s="411">
        <f t="shared" si="304"/>
        <v>11.758612925016877</v>
      </c>
      <c r="GF29" s="411">
        <f t="shared" si="304"/>
        <v>0.17742067052777255</v>
      </c>
      <c r="GG29" s="411">
        <f t="shared" si="304"/>
        <v>-8.141852420334029</v>
      </c>
      <c r="GH29" s="411">
        <f t="shared" si="304"/>
        <v>-6.2299059751289132</v>
      </c>
      <c r="GI29" s="411">
        <f t="shared" si="304"/>
        <v>-1.6140478942352376</v>
      </c>
      <c r="GJ29" s="411">
        <f t="shared" si="304"/>
        <v>-4.1903423765935921</v>
      </c>
      <c r="GK29" s="411">
        <f t="shared" si="304"/>
        <v>-3.3987260068143899</v>
      </c>
      <c r="GL29" s="346">
        <f t="shared" si="304"/>
        <v>2.3397974843413882</v>
      </c>
      <c r="GM29" s="387">
        <f t="shared" si="304"/>
        <v>-3.8000726128524787</v>
      </c>
      <c r="GN29" s="387">
        <f t="shared" si="304"/>
        <v>0.16963701765859707</v>
      </c>
      <c r="GO29" s="387">
        <f t="shared" si="304"/>
        <v>-1.8863089841132163</v>
      </c>
      <c r="GP29" s="387">
        <f t="shared" si="304"/>
        <v>5.1032508689429656</v>
      </c>
      <c r="GQ29" s="387">
        <f t="shared" si="304"/>
        <v>9.1100277220151238</v>
      </c>
      <c r="GR29" s="387">
        <f t="shared" si="304"/>
        <v>0.89055448098001033</v>
      </c>
      <c r="GS29" s="269">
        <f t="shared" si="304"/>
        <v>7.1982574354171991</v>
      </c>
      <c r="GT29" s="387">
        <f t="shared" si="304"/>
        <v>5.2896725440806147</v>
      </c>
      <c r="GU29" s="387">
        <f t="shared" si="304"/>
        <v>11.797558977013001</v>
      </c>
      <c r="GV29" s="387">
        <f t="shared" si="304"/>
        <v>8.66016776241214</v>
      </c>
      <c r="GW29" s="387">
        <f t="shared" si="304"/>
        <v>11.494748646725196</v>
      </c>
      <c r="GX29" s="387">
        <f t="shared" si="304"/>
        <v>13.512388546892451</v>
      </c>
      <c r="GY29" s="346">
        <f t="shared" si="304"/>
        <v>5.584634094716745</v>
      </c>
      <c r="GZ29" s="387">
        <f t="shared" si="304"/>
        <v>10.038998616178141</v>
      </c>
      <c r="HA29" s="387">
        <f t="shared" si="304"/>
        <v>5.2273979310766938</v>
      </c>
      <c r="HB29" s="387">
        <f t="shared" si="304"/>
        <v>6.1152741225867446</v>
      </c>
      <c r="HC29" s="387">
        <f t="shared" si="304"/>
        <v>1.1555071392444383</v>
      </c>
      <c r="HD29" s="387">
        <f t="shared" si="304"/>
        <v>5.2194673208340481</v>
      </c>
      <c r="HE29" s="387">
        <f t="shared" si="304"/>
        <v>16.413707712585392</v>
      </c>
      <c r="HF29" s="387">
        <f t="shared" si="304"/>
        <v>4.1056609506447295</v>
      </c>
      <c r="HG29" s="387">
        <f t="shared" si="304"/>
        <v>-3.5648301672272509</v>
      </c>
      <c r="HH29" s="387">
        <f t="shared" si="304"/>
        <v>7.2716751856495287</v>
      </c>
      <c r="HI29" s="387">
        <f t="shared" si="304"/>
        <v>-2.3196707319386278</v>
      </c>
      <c r="HJ29" s="387">
        <f t="shared" si="304"/>
        <v>-7.5668775024661965</v>
      </c>
      <c r="HK29" s="387">
        <f t="shared" si="304"/>
        <v>-5.9500144745730061</v>
      </c>
      <c r="HL29" s="346">
        <f t="shared" si="304"/>
        <v>2.8882418097677887</v>
      </c>
      <c r="HM29" s="387">
        <f t="shared" si="304"/>
        <v>5.4075683091345583</v>
      </c>
      <c r="HN29" s="269">
        <f t="shared" si="304"/>
        <v>3.1292230907624008</v>
      </c>
      <c r="HO29" s="411">
        <f t="shared" si="304"/>
        <v>3.1138370970790419</v>
      </c>
      <c r="HP29" s="269">
        <f t="shared" si="304"/>
        <v>6.1705985191279344</v>
      </c>
      <c r="HQ29" s="411">
        <f t="shared" si="304"/>
        <v>-12.361658469783855</v>
      </c>
      <c r="HR29" s="411">
        <f t="shared" si="304"/>
        <v>-12.842526748746941</v>
      </c>
      <c r="HS29" s="411">
        <f t="shared" si="304"/>
        <v>-8.7307676212529213</v>
      </c>
      <c r="HT29" s="411">
        <f t="shared" si="304"/>
        <v>-3.3864283583624588</v>
      </c>
      <c r="HU29" s="411">
        <f t="shared" si="304"/>
        <v>-13.419834894310146</v>
      </c>
      <c r="HV29" s="411">
        <f t="shared" si="304"/>
        <v>-5.4956855822646755</v>
      </c>
      <c r="HW29" s="411">
        <f t="shared" si="304"/>
        <v>4.594787766435493</v>
      </c>
      <c r="HX29" s="411">
        <f t="shared" si="304"/>
        <v>-6.975003741954799</v>
      </c>
      <c r="HY29" s="457">
        <f t="shared" si="304"/>
        <v>-3.6746066358215868</v>
      </c>
      <c r="HZ29" s="411">
        <f t="shared" ref="HZ29" si="305">(HZ28/HM28-1)*100</f>
        <v>-0.54459614648462162</v>
      </c>
      <c r="IA29" s="411">
        <f t="shared" ref="IA29" si="306">(IA28/HN28-1)*100</f>
        <v>-7.3372064052681152</v>
      </c>
      <c r="IB29" s="411">
        <f t="shared" ref="IB29" si="307">(IB28/HO28-1)*100</f>
        <v>-7.6605072326703656</v>
      </c>
      <c r="IC29" s="411">
        <f t="shared" ref="IC29" si="308">(IC28/HP28-1)*100</f>
        <v>-7.0012589077384497</v>
      </c>
      <c r="ID29" s="411">
        <f t="shared" ref="ID29" si="309">(ID28/HQ28-1)*100</f>
        <v>0.73353741974433451</v>
      </c>
      <c r="IE29" s="411">
        <f t="shared" ref="IE29" si="310">(IE28/HR28-1)*100</f>
        <v>-11.211707915941037</v>
      </c>
      <c r="IF29" s="411">
        <f t="shared" ref="IF29" si="311">(IF28/HS28-1)*100</f>
        <v>1.6317550705446271</v>
      </c>
      <c r="IG29" s="432">
        <f t="shared" ref="IG29" si="312">(IG28/HT28-1)*100</f>
        <v>11.412939223393192</v>
      </c>
      <c r="IH29" s="411">
        <f t="shared" ref="IH29" si="313">(IH28/HU28-1)*100</f>
        <v>14.620883714816891</v>
      </c>
      <c r="II29" s="411">
        <f t="shared" ref="II29" si="314">(II28/HV28-1)*100</f>
        <v>6.9593125682462231</v>
      </c>
      <c r="IJ29" s="411">
        <f t="shared" ref="IJ29" si="315">(IJ28/HW28-1)*100</f>
        <v>9.5360887887758317</v>
      </c>
      <c r="IK29" s="411">
        <f t="shared" ref="IK29" si="316">(IK28/HX28-1)*100</f>
        <v>19.405444683777539</v>
      </c>
      <c r="IL29" s="464">
        <f t="shared" ref="IL29" si="317">(IL28/HY28-1)*100</f>
        <v>2.0086130890906384</v>
      </c>
      <c r="IM29" s="411">
        <f>(IM28/HZ28-1)*100</f>
        <v>-8.4933643986906393E-2</v>
      </c>
      <c r="IN29" s="501">
        <f>(IN28/IA28-1)*100</f>
        <v>11.292808390110265</v>
      </c>
      <c r="IO29" s="501">
        <f t="shared" ref="IO29:IX29" si="318">(IO28/IB28-1)*100</f>
        <v>14.88583517448998</v>
      </c>
      <c r="IP29" s="501">
        <f t="shared" si="318"/>
        <v>12.789555740694114</v>
      </c>
      <c r="IQ29" s="501">
        <f t="shared" si="318"/>
        <v>12.357149098821418</v>
      </c>
      <c r="IR29" s="501">
        <f t="shared" si="318"/>
        <v>27.819730699936905</v>
      </c>
      <c r="IS29" s="501">
        <f t="shared" si="318"/>
        <v>14.766333321590274</v>
      </c>
      <c r="IT29" s="508">
        <f t="shared" si="318"/>
        <v>8.9142135726567595</v>
      </c>
      <c r="IU29" s="501">
        <f t="shared" si="318"/>
        <v>3.928590882938221</v>
      </c>
      <c r="IV29" s="501">
        <f t="shared" si="318"/>
        <v>11.589648230394477</v>
      </c>
      <c r="IW29" s="501">
        <f t="shared" si="318"/>
        <v>6.0108616036810947</v>
      </c>
      <c r="IX29" s="501">
        <f t="shared" si="318"/>
        <v>7.9992610382412677</v>
      </c>
      <c r="IY29" s="464">
        <f t="shared" ref="IY29" si="319">(IY28/IL28-1)*100</f>
        <v>10.856761476340871</v>
      </c>
      <c r="IZ29" s="501">
        <f>(IZ28/IM28-1)*100</f>
        <v>13.381357782143644</v>
      </c>
      <c r="JA29" s="501">
        <f>(JA28/IN28-1)*100</f>
        <v>6.7639015496809396</v>
      </c>
      <c r="JB29" s="501">
        <f t="shared" ref="JB29:JG29" si="320">(JB28/IO28-1)*100</f>
        <v>4.8113534094842425</v>
      </c>
      <c r="JC29" s="501">
        <f t="shared" si="320"/>
        <v>3.7644620963564135</v>
      </c>
      <c r="JD29" s="501">
        <f t="shared" si="320"/>
        <v>17.607555089192029</v>
      </c>
      <c r="JE29" s="501">
        <f t="shared" si="320"/>
        <v>12.920568851890391</v>
      </c>
      <c r="JF29" s="501">
        <f t="shared" si="320"/>
        <v>9.5784784098697848</v>
      </c>
      <c r="JG29" s="501">
        <f t="shared" si="320"/>
        <v>9.1766184789440643</v>
      </c>
      <c r="JH29" s="501">
        <f>(JH28/5736-1)*100</f>
        <v>15.01046025104602</v>
      </c>
      <c r="JI29" s="501">
        <f t="shared" ref="JI29:JK29" si="321">(JI28/IV28-1)*100</f>
        <v>12.033052160440704</v>
      </c>
      <c r="JJ29" s="501">
        <f t="shared" si="321"/>
        <v>7.3914541695382585</v>
      </c>
      <c r="JK29" s="501">
        <f t="shared" si="321"/>
        <v>5.8159425248032859</v>
      </c>
      <c r="JL29" s="510">
        <f t="shared" ref="JL29" si="322">(JL28/IY28-1)*100</f>
        <v>9.68622100954979</v>
      </c>
      <c r="JM29" s="501">
        <f t="shared" si="117"/>
        <v>-1.9060454370427471</v>
      </c>
      <c r="JN29" s="564">
        <f t="shared" si="117"/>
        <v>7.6161202185792254</v>
      </c>
    </row>
    <row r="30" spans="1:274" ht="13.5" customHeight="1" x14ac:dyDescent="0.3">
      <c r="A30" s="544"/>
      <c r="B30" s="77" t="s">
        <v>103</v>
      </c>
      <c r="C30" s="253"/>
      <c r="D30" s="253"/>
      <c r="E30" s="253"/>
      <c r="F30" s="253"/>
      <c r="G30" s="254">
        <v>4209</v>
      </c>
      <c r="H30" s="188">
        <v>4964</v>
      </c>
      <c r="I30" s="189">
        <v>5541</v>
      </c>
      <c r="J30" s="188">
        <v>6253</v>
      </c>
      <c r="K30" s="189">
        <v>7012</v>
      </c>
      <c r="L30" s="188">
        <v>6308</v>
      </c>
      <c r="M30" s="189">
        <v>6341</v>
      </c>
      <c r="N30" s="191">
        <f>SUM(AA30:AL30)</f>
        <v>7008</v>
      </c>
      <c r="O30" s="189">
        <v>452</v>
      </c>
      <c r="P30" s="188">
        <v>554</v>
      </c>
      <c r="Q30" s="188">
        <v>567</v>
      </c>
      <c r="R30" s="188">
        <v>529</v>
      </c>
      <c r="S30" s="188">
        <v>481</v>
      </c>
      <c r="T30" s="188">
        <v>552</v>
      </c>
      <c r="U30" s="188">
        <v>532</v>
      </c>
      <c r="V30" s="188">
        <v>454</v>
      </c>
      <c r="W30" s="188">
        <v>546</v>
      </c>
      <c r="X30" s="188">
        <v>544</v>
      </c>
      <c r="Y30" s="188">
        <v>579</v>
      </c>
      <c r="Z30" s="188">
        <v>551</v>
      </c>
      <c r="AA30" s="189">
        <v>492</v>
      </c>
      <c r="AB30" s="188">
        <v>608</v>
      </c>
      <c r="AC30" s="189">
        <v>635</v>
      </c>
      <c r="AD30" s="188">
        <v>607</v>
      </c>
      <c r="AE30" s="189">
        <v>553</v>
      </c>
      <c r="AF30" s="188">
        <v>631</v>
      </c>
      <c r="AG30" s="189">
        <v>560</v>
      </c>
      <c r="AH30" s="188">
        <v>514</v>
      </c>
      <c r="AI30" s="189">
        <v>588</v>
      </c>
      <c r="AJ30" s="188">
        <v>607</v>
      </c>
      <c r="AK30" s="189">
        <v>611</v>
      </c>
      <c r="AL30" s="188">
        <v>602</v>
      </c>
      <c r="AM30" s="189">
        <f>SUM(AN30:AY30)</f>
        <v>6402</v>
      </c>
      <c r="AN30" s="226">
        <v>518</v>
      </c>
      <c r="AO30" s="189">
        <v>588</v>
      </c>
      <c r="AP30" s="227">
        <v>630</v>
      </c>
      <c r="AQ30" s="194">
        <v>580</v>
      </c>
      <c r="AR30" s="194">
        <v>486</v>
      </c>
      <c r="AS30" s="194">
        <v>538</v>
      </c>
      <c r="AT30" s="194">
        <v>527</v>
      </c>
      <c r="AU30" s="194">
        <v>449</v>
      </c>
      <c r="AV30" s="194">
        <v>514</v>
      </c>
      <c r="AW30" s="194">
        <v>549</v>
      </c>
      <c r="AX30" s="194">
        <v>514</v>
      </c>
      <c r="AY30" s="195">
        <v>509</v>
      </c>
      <c r="AZ30" s="196">
        <f>SUM(BA30:BL30)</f>
        <v>6473</v>
      </c>
      <c r="BA30" s="228">
        <v>433</v>
      </c>
      <c r="BB30" s="198">
        <v>528</v>
      </c>
      <c r="BC30" s="198">
        <v>524</v>
      </c>
      <c r="BD30" s="198">
        <v>527</v>
      </c>
      <c r="BE30" s="198">
        <v>475</v>
      </c>
      <c r="BF30" s="198">
        <v>527</v>
      </c>
      <c r="BG30" s="198">
        <v>570</v>
      </c>
      <c r="BH30" s="198">
        <v>476</v>
      </c>
      <c r="BI30" s="198">
        <v>571</v>
      </c>
      <c r="BJ30" s="198">
        <v>611</v>
      </c>
      <c r="BK30" s="198">
        <v>616</v>
      </c>
      <c r="BL30" s="198">
        <v>615</v>
      </c>
      <c r="BM30" s="199">
        <v>578</v>
      </c>
      <c r="BN30" s="199">
        <v>647</v>
      </c>
      <c r="BO30" s="199">
        <v>641</v>
      </c>
      <c r="BP30" s="199">
        <v>603</v>
      </c>
      <c r="BQ30" s="199">
        <v>556</v>
      </c>
      <c r="BR30" s="199">
        <v>647</v>
      </c>
      <c r="BS30" s="199">
        <v>670</v>
      </c>
      <c r="BT30" s="199">
        <v>571</v>
      </c>
      <c r="BU30" s="199">
        <v>691</v>
      </c>
      <c r="BV30" s="199">
        <v>712</v>
      </c>
      <c r="BW30" s="199">
        <v>676</v>
      </c>
      <c r="BX30" s="199">
        <v>760</v>
      </c>
      <c r="BY30" s="168">
        <f>SUM(BM30:BX30)</f>
        <v>7752</v>
      </c>
      <c r="BZ30" s="198">
        <v>699</v>
      </c>
      <c r="CA30" s="198">
        <v>783</v>
      </c>
      <c r="CB30" s="198">
        <v>839</v>
      </c>
      <c r="CC30" s="198">
        <v>804</v>
      </c>
      <c r="CD30" s="229">
        <v>713</v>
      </c>
      <c r="CE30" s="230">
        <v>867</v>
      </c>
      <c r="CF30" s="231">
        <v>853</v>
      </c>
      <c r="CG30" s="231">
        <v>781</v>
      </c>
      <c r="CH30" s="231">
        <v>903</v>
      </c>
      <c r="CI30" s="231">
        <v>908</v>
      </c>
      <c r="CJ30" s="236">
        <v>908.73400000000004</v>
      </c>
      <c r="CK30" s="343">
        <v>884</v>
      </c>
      <c r="CL30" s="345">
        <f>SUM(BZ30:CK30)</f>
        <v>9942.7340000000004</v>
      </c>
      <c r="CM30" s="277">
        <v>784</v>
      </c>
      <c r="CN30" s="278">
        <v>865</v>
      </c>
      <c r="CO30" s="278">
        <v>913</v>
      </c>
      <c r="CP30" s="361">
        <v>874</v>
      </c>
      <c r="CQ30" s="361">
        <v>766</v>
      </c>
      <c r="CR30" s="361">
        <v>845</v>
      </c>
      <c r="CS30" s="361">
        <v>852</v>
      </c>
      <c r="CT30" s="361">
        <v>744</v>
      </c>
      <c r="CU30" s="361">
        <v>870</v>
      </c>
      <c r="CV30" s="361">
        <v>880</v>
      </c>
      <c r="CW30" s="361">
        <v>899</v>
      </c>
      <c r="CX30" s="353">
        <v>897</v>
      </c>
      <c r="CY30" s="345">
        <f>SUM(CM30:CX30)</f>
        <v>10189</v>
      </c>
      <c r="CZ30" s="361">
        <v>780</v>
      </c>
      <c r="DA30" s="361">
        <v>895</v>
      </c>
      <c r="DB30" s="361">
        <v>952</v>
      </c>
      <c r="DC30" s="361">
        <v>944</v>
      </c>
      <c r="DD30" s="361">
        <v>798</v>
      </c>
      <c r="DE30" s="361">
        <v>931</v>
      </c>
      <c r="DF30" s="361">
        <v>926</v>
      </c>
      <c r="DG30" s="361">
        <v>800</v>
      </c>
      <c r="DH30" s="361">
        <v>920</v>
      </c>
      <c r="DI30" s="361">
        <v>948</v>
      </c>
      <c r="DJ30" s="361">
        <v>991</v>
      </c>
      <c r="DK30" s="361">
        <v>901</v>
      </c>
      <c r="DL30" s="345">
        <f>SUM(CZ30:DK30)</f>
        <v>10786</v>
      </c>
      <c r="DM30" s="361">
        <v>834</v>
      </c>
      <c r="DN30" s="361">
        <v>949</v>
      </c>
      <c r="DO30" s="361">
        <v>992</v>
      </c>
      <c r="DP30" s="361">
        <v>883</v>
      </c>
      <c r="DQ30" s="361">
        <v>834</v>
      </c>
      <c r="DR30" s="361">
        <v>950</v>
      </c>
      <c r="DS30" s="361">
        <v>942</v>
      </c>
      <c r="DT30" s="361">
        <v>819</v>
      </c>
      <c r="DU30" s="361">
        <v>936</v>
      </c>
      <c r="DV30" s="361">
        <v>1012</v>
      </c>
      <c r="DW30" s="361">
        <v>985</v>
      </c>
      <c r="DX30" s="278">
        <v>976</v>
      </c>
      <c r="DY30" s="385">
        <f>SUM(DM30:DX30)</f>
        <v>11112</v>
      </c>
      <c r="DZ30" s="391">
        <v>861</v>
      </c>
      <c r="EA30" s="391">
        <v>1027</v>
      </c>
      <c r="EB30" s="391">
        <v>1038</v>
      </c>
      <c r="EC30" s="391">
        <v>1030</v>
      </c>
      <c r="ED30" s="391">
        <v>904</v>
      </c>
      <c r="EE30" s="391">
        <v>1048</v>
      </c>
      <c r="EF30" s="391">
        <v>1050</v>
      </c>
      <c r="EG30" s="391">
        <v>831</v>
      </c>
      <c r="EH30" s="391">
        <v>1000</v>
      </c>
      <c r="EI30" s="391">
        <v>1010</v>
      </c>
      <c r="EJ30" s="391">
        <v>891</v>
      </c>
      <c r="EK30" s="391">
        <v>797</v>
      </c>
      <c r="EL30" s="385">
        <f>SUM(DZ30:EK30)</f>
        <v>11487</v>
      </c>
      <c r="EM30" s="391">
        <v>593</v>
      </c>
      <c r="EN30" s="391">
        <v>519</v>
      </c>
      <c r="EO30" s="391">
        <v>515</v>
      </c>
      <c r="EP30" s="391">
        <v>572.52700000000004</v>
      </c>
      <c r="EQ30" s="391">
        <v>521.63900000000001</v>
      </c>
      <c r="ER30" s="391">
        <v>656.35</v>
      </c>
      <c r="ES30" s="391">
        <v>676.125</v>
      </c>
      <c r="ET30" s="391">
        <v>601.15300000000002</v>
      </c>
      <c r="EU30" s="391">
        <v>732.95899999999995</v>
      </c>
      <c r="EV30" s="391">
        <v>772.17</v>
      </c>
      <c r="EW30" s="391">
        <v>775.87099999999998</v>
      </c>
      <c r="EX30" s="391">
        <v>749.29700000000003</v>
      </c>
      <c r="EY30" s="385">
        <f>SUM(EM30:EX30)</f>
        <v>7685.0910000000003</v>
      </c>
      <c r="EZ30" s="391">
        <v>695.29600000000005</v>
      </c>
      <c r="FA30" s="391">
        <v>824.95799999999997</v>
      </c>
      <c r="FB30" s="391">
        <v>836.577</v>
      </c>
      <c r="FC30" s="391">
        <v>832.78</v>
      </c>
      <c r="FD30" s="391">
        <v>711.13699999999994</v>
      </c>
      <c r="FE30" s="391">
        <v>851.22500000000002</v>
      </c>
      <c r="FF30" s="391">
        <v>843.92100000000005</v>
      </c>
      <c r="FG30" s="391">
        <v>724.41200000000003</v>
      </c>
      <c r="FH30" s="391">
        <v>864.64200000000005</v>
      </c>
      <c r="FI30" s="391">
        <v>889.83</v>
      </c>
      <c r="FJ30" s="391">
        <v>893.13900000000001</v>
      </c>
      <c r="FK30" s="391">
        <v>904.81200000000001</v>
      </c>
      <c r="FL30" s="385">
        <f>SUM(EZ30:FK30)</f>
        <v>9872.7289999999994</v>
      </c>
      <c r="FM30" s="391">
        <v>823.72</v>
      </c>
      <c r="FN30" s="391">
        <v>931.10900000000004</v>
      </c>
      <c r="FO30" s="391">
        <v>974.22199999999998</v>
      </c>
      <c r="FP30" s="391">
        <v>930.86599999999999</v>
      </c>
      <c r="FQ30" s="391">
        <v>781.06799999999998</v>
      </c>
      <c r="FR30" s="391">
        <v>940.08600000000001</v>
      </c>
      <c r="FS30" s="391">
        <v>986.29100000000005</v>
      </c>
      <c r="FT30" s="391">
        <v>900.75800000000004</v>
      </c>
      <c r="FU30" s="391">
        <v>1037.6410000000001</v>
      </c>
      <c r="FV30" s="391">
        <v>1033.7550000000001</v>
      </c>
      <c r="FW30" s="391">
        <v>1007.546</v>
      </c>
      <c r="FX30" s="391">
        <v>988.947</v>
      </c>
      <c r="FY30" s="385">
        <f>SUM(FM30:FX30)</f>
        <v>11336.009</v>
      </c>
      <c r="FZ30" s="391">
        <v>881.44299999999998</v>
      </c>
      <c r="GA30" s="391">
        <v>1048.0519999999999</v>
      </c>
      <c r="GB30" s="391">
        <v>1048.2429999999999</v>
      </c>
      <c r="GC30" s="391">
        <v>1021.09</v>
      </c>
      <c r="GD30" s="415">
        <v>900.59799999999996</v>
      </c>
      <c r="GE30" s="415">
        <v>1047.954</v>
      </c>
      <c r="GF30" s="415">
        <v>1036.798</v>
      </c>
      <c r="GG30" s="415">
        <v>853.64800000000002</v>
      </c>
      <c r="GH30" s="415">
        <v>987.904</v>
      </c>
      <c r="GI30" s="415">
        <v>1023.748</v>
      </c>
      <c r="GJ30" s="415">
        <v>970.71699999999998</v>
      </c>
      <c r="GK30" s="415">
        <v>919.78200000000004</v>
      </c>
      <c r="GL30" s="385">
        <f>SUM(FZ30:GK30)</f>
        <v>11739.976999999999</v>
      </c>
      <c r="GM30" s="391">
        <v>833.28599999999994</v>
      </c>
      <c r="GN30" s="391">
        <v>1009.21</v>
      </c>
      <c r="GO30" s="391">
        <v>1016.754</v>
      </c>
      <c r="GP30" s="391">
        <v>1057.633</v>
      </c>
      <c r="GQ30" s="391">
        <v>961.94600000000003</v>
      </c>
      <c r="GR30" s="391">
        <v>1038.758</v>
      </c>
      <c r="GS30" s="277">
        <v>1055.808</v>
      </c>
      <c r="GT30" s="421">
        <v>864.58699999999999</v>
      </c>
      <c r="GU30" s="421">
        <v>1033.8530000000001</v>
      </c>
      <c r="GV30" s="421">
        <v>1058.96</v>
      </c>
      <c r="GW30" s="421">
        <v>1048.9469999999999</v>
      </c>
      <c r="GX30" s="421">
        <v>1031.538</v>
      </c>
      <c r="GY30" s="385">
        <f>SUM(GM30:GX30)</f>
        <v>12011.279999999999</v>
      </c>
      <c r="GZ30" s="421">
        <v>881.62</v>
      </c>
      <c r="HA30" s="421">
        <v>1029.1880000000001</v>
      </c>
      <c r="HB30" s="421">
        <v>1029.636</v>
      </c>
      <c r="HC30" s="421">
        <v>1024.2270000000001</v>
      </c>
      <c r="HD30" s="421">
        <v>936.26700000000005</v>
      </c>
      <c r="HE30" s="421">
        <v>1073.873</v>
      </c>
      <c r="HF30" s="421">
        <v>1060.0129999999999</v>
      </c>
      <c r="HG30" s="421">
        <v>830.29700000000003</v>
      </c>
      <c r="HH30" s="421">
        <v>1072.7639999999999</v>
      </c>
      <c r="HI30" s="421">
        <v>1067.4739999999999</v>
      </c>
      <c r="HJ30" s="421">
        <v>989.58199999999999</v>
      </c>
      <c r="HK30" s="421">
        <v>969.77300000000002</v>
      </c>
      <c r="HL30" s="385">
        <f>SUM(GZ30:HK30)</f>
        <v>11964.713999999998</v>
      </c>
      <c r="HM30" s="421">
        <v>884.56399999999996</v>
      </c>
      <c r="HN30" s="427">
        <v>1030.374</v>
      </c>
      <c r="HO30" s="429">
        <v>1064.691</v>
      </c>
      <c r="HP30" s="426">
        <v>1025.7729999999999</v>
      </c>
      <c r="HQ30" s="433">
        <v>825.98299999999995</v>
      </c>
      <c r="HR30" s="433">
        <v>990.36199999999997</v>
      </c>
      <c r="HS30" s="433">
        <v>955.49300000000005</v>
      </c>
      <c r="HT30" s="433">
        <v>773.67</v>
      </c>
      <c r="HU30" s="433">
        <v>954.88400000000001</v>
      </c>
      <c r="HV30" s="433">
        <v>974.23400000000004</v>
      </c>
      <c r="HW30" s="433">
        <v>978.22900000000004</v>
      </c>
      <c r="HX30" s="433">
        <v>929.25</v>
      </c>
      <c r="HY30" s="461">
        <f>SUM(HM30:HX30)</f>
        <v>11387.507000000001</v>
      </c>
      <c r="HZ30" s="467">
        <v>837109</v>
      </c>
      <c r="IA30" s="467">
        <v>982116</v>
      </c>
      <c r="IB30" s="467">
        <v>1026120</v>
      </c>
      <c r="IC30" s="467">
        <v>1042407</v>
      </c>
      <c r="ID30" s="467">
        <v>860721</v>
      </c>
      <c r="IE30" s="467">
        <v>961695</v>
      </c>
      <c r="IF30" s="467">
        <v>1008019</v>
      </c>
      <c r="IG30" s="467">
        <v>881709</v>
      </c>
      <c r="IH30" s="467">
        <v>1075020</v>
      </c>
      <c r="II30" s="467">
        <v>1018605</v>
      </c>
      <c r="IJ30" s="467">
        <v>1078401</v>
      </c>
      <c r="IK30" s="467">
        <v>1029782</v>
      </c>
      <c r="IL30" s="468">
        <f>SUM(HZ30:IK30)</f>
        <v>11801704</v>
      </c>
      <c r="IM30" s="467">
        <v>903896</v>
      </c>
      <c r="IN30" s="467">
        <v>1049591</v>
      </c>
      <c r="IO30" s="467">
        <v>1146983</v>
      </c>
      <c r="IP30" s="467">
        <v>1118829</v>
      </c>
      <c r="IQ30" s="467">
        <v>925898</v>
      </c>
      <c r="IR30" s="467">
        <v>1141140</v>
      </c>
      <c r="IS30" s="467">
        <v>1114719</v>
      </c>
      <c r="IT30" s="467">
        <v>927491</v>
      </c>
      <c r="IU30" s="467">
        <v>1102485</v>
      </c>
      <c r="IV30" s="467">
        <v>1118458</v>
      </c>
      <c r="IW30" s="467">
        <v>1101132</v>
      </c>
      <c r="IX30" s="467">
        <v>1110031</v>
      </c>
      <c r="IY30" s="468">
        <f>SUM(IM30:IX30)</f>
        <v>12760653</v>
      </c>
      <c r="IZ30" s="467">
        <v>942729</v>
      </c>
      <c r="JA30" s="467">
        <v>1133468</v>
      </c>
      <c r="JB30" s="467">
        <v>1189561</v>
      </c>
      <c r="JC30" s="467">
        <v>1184833</v>
      </c>
      <c r="JD30" s="467">
        <v>1033021</v>
      </c>
      <c r="JE30" s="467">
        <v>1233974</v>
      </c>
      <c r="JF30" s="520">
        <v>1223</v>
      </c>
      <c r="JG30" s="520">
        <v>993</v>
      </c>
      <c r="JH30" s="520">
        <v>1186</v>
      </c>
      <c r="JI30" s="520">
        <v>1277</v>
      </c>
      <c r="JJ30" s="520">
        <v>1250</v>
      </c>
      <c r="JK30" s="522">
        <v>1190</v>
      </c>
      <c r="JL30" s="524">
        <v>13837</v>
      </c>
      <c r="JM30" s="522">
        <v>990</v>
      </c>
      <c r="JN30" s="565">
        <v>1179</v>
      </c>
    </row>
    <row r="31" spans="1:274" ht="13.5" customHeight="1" thickBot="1" x14ac:dyDescent="0.35">
      <c r="A31" s="546"/>
      <c r="B31" s="78" t="s">
        <v>102</v>
      </c>
      <c r="C31" s="255"/>
      <c r="D31" s="255"/>
      <c r="E31" s="255"/>
      <c r="F31" s="255"/>
      <c r="G31" s="256"/>
      <c r="H31" s="202">
        <f t="shared" ref="H31:N31" si="323">(H30/G30-1)*100</f>
        <v>17.937752435257771</v>
      </c>
      <c r="I31" s="202">
        <f t="shared" si="323"/>
        <v>11.62369057211925</v>
      </c>
      <c r="J31" s="202">
        <f t="shared" si="323"/>
        <v>12.849666125248159</v>
      </c>
      <c r="K31" s="202">
        <f t="shared" si="323"/>
        <v>12.138173676635212</v>
      </c>
      <c r="L31" s="202">
        <f t="shared" si="323"/>
        <v>-10.039931545921277</v>
      </c>
      <c r="M31" s="202">
        <f t="shared" si="323"/>
        <v>0.52314521242866618</v>
      </c>
      <c r="N31" s="202">
        <f t="shared" si="323"/>
        <v>10.518845607948268</v>
      </c>
      <c r="O31" s="203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5"/>
      <c r="AA31" s="202">
        <f t="shared" ref="AA31:AL31" si="324">(AA30/O30-1)*100</f>
        <v>8.8495575221238845</v>
      </c>
      <c r="AB31" s="202">
        <f t="shared" si="324"/>
        <v>9.7472924187725685</v>
      </c>
      <c r="AC31" s="202">
        <f t="shared" si="324"/>
        <v>11.992945326278658</v>
      </c>
      <c r="AD31" s="202">
        <f t="shared" si="324"/>
        <v>14.744801512287342</v>
      </c>
      <c r="AE31" s="202">
        <f t="shared" si="324"/>
        <v>14.96881496881497</v>
      </c>
      <c r="AF31" s="202">
        <f t="shared" si="324"/>
        <v>14.311594202898558</v>
      </c>
      <c r="AG31" s="202">
        <f t="shared" si="324"/>
        <v>5.2631578947368363</v>
      </c>
      <c r="AH31" s="202">
        <f t="shared" si="324"/>
        <v>13.215859030836995</v>
      </c>
      <c r="AI31" s="202">
        <f t="shared" si="324"/>
        <v>7.6923076923076872</v>
      </c>
      <c r="AJ31" s="202">
        <f t="shared" si="324"/>
        <v>11.580882352941169</v>
      </c>
      <c r="AK31" s="202">
        <f t="shared" si="324"/>
        <v>5.5267702936096619</v>
      </c>
      <c r="AL31" s="206">
        <f t="shared" si="324"/>
        <v>9.2558983666061643</v>
      </c>
      <c r="AM31" s="202">
        <f>(AM30/N30-1)*100</f>
        <v>-8.6472602739726021</v>
      </c>
      <c r="AN31" s="207">
        <f t="shared" ref="AN31:AY31" si="325">(AN30/AA30-1)*100</f>
        <v>5.2845528455284452</v>
      </c>
      <c r="AO31" s="202">
        <f t="shared" si="325"/>
        <v>-3.289473684210531</v>
      </c>
      <c r="AP31" s="206">
        <f t="shared" si="325"/>
        <v>-0.78740157480314821</v>
      </c>
      <c r="AQ31" s="202">
        <f t="shared" si="325"/>
        <v>-4.4481054365733126</v>
      </c>
      <c r="AR31" s="202">
        <f t="shared" si="325"/>
        <v>-12.115732368896925</v>
      </c>
      <c r="AS31" s="208">
        <f t="shared" si="325"/>
        <v>-14.738510301109354</v>
      </c>
      <c r="AT31" s="202">
        <f t="shared" si="325"/>
        <v>-5.8928571428571441</v>
      </c>
      <c r="AU31" s="208">
        <f t="shared" si="325"/>
        <v>-12.645914396887159</v>
      </c>
      <c r="AV31" s="202">
        <f t="shared" si="325"/>
        <v>-12.585034013605444</v>
      </c>
      <c r="AW31" s="208">
        <f t="shared" si="325"/>
        <v>-9.5551894563426725</v>
      </c>
      <c r="AX31" s="202">
        <f t="shared" si="325"/>
        <v>-15.875613747954176</v>
      </c>
      <c r="AY31" s="209">
        <f t="shared" si="325"/>
        <v>-15.4485049833887</v>
      </c>
      <c r="AZ31" s="210">
        <f t="shared" ref="AZ31:BL31" si="326">(AZ30/AM30-1)*100</f>
        <v>1.1090284286160657</v>
      </c>
      <c r="BA31" s="211">
        <f t="shared" si="326"/>
        <v>-16.409266409266408</v>
      </c>
      <c r="BB31" s="212">
        <f t="shared" si="326"/>
        <v>-10.204081632653061</v>
      </c>
      <c r="BC31" s="212">
        <f t="shared" si="326"/>
        <v>-16.825396825396822</v>
      </c>
      <c r="BD31" s="212">
        <f t="shared" si="326"/>
        <v>-9.1379310344827598</v>
      </c>
      <c r="BE31" s="212">
        <f t="shared" si="326"/>
        <v>-2.2633744855967031</v>
      </c>
      <c r="BF31" s="212">
        <f t="shared" si="326"/>
        <v>-2.0446096654275103</v>
      </c>
      <c r="BG31" s="212">
        <f t="shared" si="326"/>
        <v>8.1593927893738094</v>
      </c>
      <c r="BH31" s="212">
        <f t="shared" si="326"/>
        <v>6.0133630289532336</v>
      </c>
      <c r="BI31" s="212">
        <f t="shared" si="326"/>
        <v>11.08949416342413</v>
      </c>
      <c r="BJ31" s="212">
        <f t="shared" si="326"/>
        <v>11.29326047358834</v>
      </c>
      <c r="BK31" s="212">
        <f t="shared" si="326"/>
        <v>19.844357976653693</v>
      </c>
      <c r="BL31" s="212">
        <f t="shared" si="326"/>
        <v>20.825147347740657</v>
      </c>
      <c r="BM31" s="213">
        <f t="shared" ref="BM31:BX31" si="327">(BM30/BA30-1)*100</f>
        <v>33.487297921478067</v>
      </c>
      <c r="BN31" s="213">
        <f t="shared" si="327"/>
        <v>22.537878787878785</v>
      </c>
      <c r="BO31" s="213">
        <f t="shared" si="327"/>
        <v>22.328244274809151</v>
      </c>
      <c r="BP31" s="213">
        <f t="shared" si="327"/>
        <v>14.421252371916516</v>
      </c>
      <c r="BQ31" s="213">
        <f t="shared" si="327"/>
        <v>17.052631578947363</v>
      </c>
      <c r="BR31" s="213">
        <f t="shared" si="327"/>
        <v>22.770398481973441</v>
      </c>
      <c r="BS31" s="213">
        <f t="shared" si="327"/>
        <v>17.543859649122815</v>
      </c>
      <c r="BT31" s="213">
        <f t="shared" si="327"/>
        <v>19.957983193277308</v>
      </c>
      <c r="BU31" s="213">
        <f t="shared" si="327"/>
        <v>21.01576182136602</v>
      </c>
      <c r="BV31" s="213">
        <f t="shared" si="327"/>
        <v>16.530278232405891</v>
      </c>
      <c r="BW31" s="213">
        <f t="shared" si="327"/>
        <v>9.740259740259738</v>
      </c>
      <c r="BX31" s="213">
        <f t="shared" si="327"/>
        <v>23.577235772357731</v>
      </c>
      <c r="BY31" s="210">
        <f>(BY30/AZ30-1)*100</f>
        <v>19.758998918584879</v>
      </c>
      <c r="BZ31" s="212">
        <f t="shared" ref="BZ31:CK31" si="328">(BZ30/BM30-1)*100</f>
        <v>20.934256055363321</v>
      </c>
      <c r="CA31" s="212">
        <f t="shared" si="328"/>
        <v>21.020092735703244</v>
      </c>
      <c r="CB31" s="212">
        <f t="shared" si="328"/>
        <v>30.88923556942278</v>
      </c>
      <c r="CC31" s="212">
        <f t="shared" si="328"/>
        <v>33.333333333333329</v>
      </c>
      <c r="CD31" s="212">
        <f t="shared" si="328"/>
        <v>28.237410071942449</v>
      </c>
      <c r="CE31" s="217">
        <f t="shared" si="328"/>
        <v>34.003091190108179</v>
      </c>
      <c r="CF31" s="217">
        <f t="shared" si="328"/>
        <v>27.313432835820905</v>
      </c>
      <c r="CG31" s="217">
        <f t="shared" si="328"/>
        <v>36.777583187390547</v>
      </c>
      <c r="CH31" s="217">
        <f t="shared" si="328"/>
        <v>30.680173661360357</v>
      </c>
      <c r="CI31" s="217">
        <f t="shared" si="328"/>
        <v>27.528089887640441</v>
      </c>
      <c r="CJ31" s="217">
        <f t="shared" si="328"/>
        <v>34.428106508875757</v>
      </c>
      <c r="CK31" s="342">
        <f t="shared" si="328"/>
        <v>16.315789473684216</v>
      </c>
      <c r="CL31" s="209">
        <f t="shared" ref="CL31:EL31" si="329">(CL30/BY30-1)*100</f>
        <v>28.260242518059854</v>
      </c>
      <c r="CM31" s="273">
        <f t="shared" si="329"/>
        <v>12.160228898426318</v>
      </c>
      <c r="CN31" s="274">
        <f t="shared" si="329"/>
        <v>10.472541507024257</v>
      </c>
      <c r="CO31" s="274">
        <f t="shared" si="329"/>
        <v>8.8200238379022586</v>
      </c>
      <c r="CP31" s="359">
        <f t="shared" si="329"/>
        <v>8.7064676616915406</v>
      </c>
      <c r="CQ31" s="359">
        <f t="shared" si="329"/>
        <v>7.4333800841514641</v>
      </c>
      <c r="CR31" s="359">
        <f t="shared" si="329"/>
        <v>-2.5374855824682796</v>
      </c>
      <c r="CS31" s="359">
        <f t="shared" si="329"/>
        <v>-0.11723329425556983</v>
      </c>
      <c r="CT31" s="359">
        <f t="shared" si="329"/>
        <v>-4.7375160051216341</v>
      </c>
      <c r="CU31" s="359">
        <f t="shared" si="329"/>
        <v>-3.6544850498338888</v>
      </c>
      <c r="CV31" s="359">
        <f t="shared" si="329"/>
        <v>-3.0837004405286361</v>
      </c>
      <c r="CW31" s="359">
        <f t="shared" si="329"/>
        <v>-1.0711605376270805</v>
      </c>
      <c r="CX31" s="351">
        <f t="shared" si="329"/>
        <v>1.4705882352941124</v>
      </c>
      <c r="CY31" s="209">
        <f t="shared" si="329"/>
        <v>2.4768438942447846</v>
      </c>
      <c r="CZ31" s="359">
        <f t="shared" si="329"/>
        <v>-0.51020408163264808</v>
      </c>
      <c r="DA31" s="359">
        <f t="shared" si="329"/>
        <v>3.4682080924855585</v>
      </c>
      <c r="DB31" s="359">
        <f t="shared" si="329"/>
        <v>4.2716319824753546</v>
      </c>
      <c r="DC31" s="359">
        <f t="shared" si="329"/>
        <v>8.0091533180778107</v>
      </c>
      <c r="DD31" s="359">
        <f t="shared" si="329"/>
        <v>4.1775456919060039</v>
      </c>
      <c r="DE31" s="359">
        <f t="shared" si="329"/>
        <v>10.177514792899412</v>
      </c>
      <c r="DF31" s="359">
        <f t="shared" si="329"/>
        <v>8.6854460093896755</v>
      </c>
      <c r="DG31" s="359">
        <f t="shared" si="329"/>
        <v>7.5268817204301008</v>
      </c>
      <c r="DH31" s="359">
        <f t="shared" si="329"/>
        <v>5.7471264367816133</v>
      </c>
      <c r="DI31" s="359">
        <f t="shared" si="329"/>
        <v>7.7272727272727382</v>
      </c>
      <c r="DJ31" s="359">
        <f t="shared" si="329"/>
        <v>10.23359288097887</v>
      </c>
      <c r="DK31" s="359">
        <f t="shared" si="329"/>
        <v>0.44593088071349651</v>
      </c>
      <c r="DL31" s="209">
        <f t="shared" si="329"/>
        <v>5.8592599862596906</v>
      </c>
      <c r="DM31" s="359">
        <f t="shared" si="329"/>
        <v>6.9230769230769207</v>
      </c>
      <c r="DN31" s="359">
        <f t="shared" si="329"/>
        <v>6.0335195530726304</v>
      </c>
      <c r="DO31" s="359">
        <f t="shared" si="329"/>
        <v>4.2016806722689148</v>
      </c>
      <c r="DP31" s="359">
        <f t="shared" si="329"/>
        <v>-6.4618644067796609</v>
      </c>
      <c r="DQ31" s="359">
        <f t="shared" si="329"/>
        <v>4.5112781954887327</v>
      </c>
      <c r="DR31" s="359">
        <f t="shared" si="329"/>
        <v>2.0408163265306145</v>
      </c>
      <c r="DS31" s="359">
        <f t="shared" si="329"/>
        <v>1.7278617710583255</v>
      </c>
      <c r="DT31" s="359">
        <f t="shared" si="329"/>
        <v>2.3749999999999938</v>
      </c>
      <c r="DU31" s="359">
        <f t="shared" si="329"/>
        <v>1.7391304347825987</v>
      </c>
      <c r="DV31" s="359">
        <f t="shared" si="329"/>
        <v>6.7510548523206815</v>
      </c>
      <c r="DW31" s="359">
        <f t="shared" si="329"/>
        <v>-0.60544904137235234</v>
      </c>
      <c r="DX31" s="274">
        <f t="shared" si="329"/>
        <v>8.3240843507214279</v>
      </c>
      <c r="DY31" s="384">
        <f t="shared" si="329"/>
        <v>3.0224364917485591</v>
      </c>
      <c r="DZ31" s="389">
        <f t="shared" si="329"/>
        <v>3.2374100719424481</v>
      </c>
      <c r="EA31" s="389">
        <f t="shared" si="329"/>
        <v>8.2191780821917924</v>
      </c>
      <c r="EB31" s="389">
        <f t="shared" si="329"/>
        <v>4.6370967741935498</v>
      </c>
      <c r="EC31" s="389">
        <f t="shared" si="329"/>
        <v>16.647791619479047</v>
      </c>
      <c r="ED31" s="389">
        <f t="shared" si="329"/>
        <v>8.3932853717026301</v>
      </c>
      <c r="EE31" s="389">
        <f t="shared" si="329"/>
        <v>10.315789473684212</v>
      </c>
      <c r="EF31" s="389">
        <f t="shared" si="329"/>
        <v>11.464968152866239</v>
      </c>
      <c r="EG31" s="389">
        <f t="shared" si="329"/>
        <v>1.46520146520146</v>
      </c>
      <c r="EH31" s="389">
        <f t="shared" si="329"/>
        <v>6.8376068376068355</v>
      </c>
      <c r="EI31" s="389">
        <f t="shared" si="329"/>
        <v>-0.19762845849802257</v>
      </c>
      <c r="EJ31" s="389">
        <f t="shared" si="329"/>
        <v>-9.5431472081218267</v>
      </c>
      <c r="EK31" s="389">
        <f t="shared" si="329"/>
        <v>-18.340163934426236</v>
      </c>
      <c r="EL31" s="384">
        <f t="shared" si="329"/>
        <v>3.3747300215982712</v>
      </c>
      <c r="EM31" s="389">
        <f t="shared" ref="EM31:EX31" si="330">(EM30/DZ30-1)*100</f>
        <v>-31.126596980255517</v>
      </c>
      <c r="EN31" s="389">
        <f t="shared" si="330"/>
        <v>-49.464459591041866</v>
      </c>
      <c r="EO31" s="389">
        <f t="shared" si="330"/>
        <v>-50.385356454720622</v>
      </c>
      <c r="EP31" s="389">
        <f t="shared" si="330"/>
        <v>-44.414854368932033</v>
      </c>
      <c r="EQ31" s="389">
        <f t="shared" si="330"/>
        <v>-42.296570796460173</v>
      </c>
      <c r="ER31" s="389">
        <f t="shared" si="330"/>
        <v>-37.371183206106871</v>
      </c>
      <c r="ES31" s="389">
        <f t="shared" si="330"/>
        <v>-35.607142857142861</v>
      </c>
      <c r="ET31" s="389">
        <f t="shared" si="330"/>
        <v>-27.659085439229834</v>
      </c>
      <c r="EU31" s="389">
        <f t="shared" si="330"/>
        <v>-26.704100000000007</v>
      </c>
      <c r="EV31" s="389">
        <f t="shared" si="330"/>
        <v>-23.547524752475248</v>
      </c>
      <c r="EW31" s="389">
        <f t="shared" si="330"/>
        <v>-12.921324354657692</v>
      </c>
      <c r="EX31" s="389">
        <f t="shared" si="330"/>
        <v>-5.9853199498117959</v>
      </c>
      <c r="EY31" s="384">
        <f t="shared" ref="EY31:FX31" si="331">(EY30/EL30-1)*100</f>
        <v>-33.097492817968131</v>
      </c>
      <c r="EZ31" s="389">
        <f t="shared" si="331"/>
        <v>17.250590219224282</v>
      </c>
      <c r="FA31" s="389">
        <f t="shared" si="331"/>
        <v>58.951445086705199</v>
      </c>
      <c r="FB31" s="389">
        <f t="shared" si="331"/>
        <v>62.442135922330102</v>
      </c>
      <c r="FC31" s="389">
        <f t="shared" si="331"/>
        <v>45.456895482658453</v>
      </c>
      <c r="FD31" s="389">
        <f t="shared" si="331"/>
        <v>36.327421837707675</v>
      </c>
      <c r="FE31" s="389">
        <f t="shared" si="331"/>
        <v>29.690713795992995</v>
      </c>
      <c r="FF31" s="389">
        <f t="shared" si="331"/>
        <v>24.817304492512491</v>
      </c>
      <c r="FG31" s="389">
        <f t="shared" si="331"/>
        <v>20.503765264416884</v>
      </c>
      <c r="FH31" s="389">
        <f t="shared" si="331"/>
        <v>17.96594352480836</v>
      </c>
      <c r="FI31" s="389">
        <f t="shared" si="331"/>
        <v>15.237577217452136</v>
      </c>
      <c r="FJ31" s="389">
        <f t="shared" si="331"/>
        <v>15.114368239050059</v>
      </c>
      <c r="FK31" s="389">
        <f t="shared" si="331"/>
        <v>20.754787487471592</v>
      </c>
      <c r="FL31" s="384">
        <f t="shared" si="331"/>
        <v>28.465999947170427</v>
      </c>
      <c r="FM31" s="389">
        <f t="shared" si="331"/>
        <v>18.470406848306318</v>
      </c>
      <c r="FN31" s="389">
        <f t="shared" si="331"/>
        <v>12.86744294861073</v>
      </c>
      <c r="FO31" s="389">
        <f t="shared" si="331"/>
        <v>16.453356953394604</v>
      </c>
      <c r="FP31" s="389">
        <f t="shared" si="331"/>
        <v>11.778140685415117</v>
      </c>
      <c r="FQ31" s="389">
        <f t="shared" si="331"/>
        <v>9.8336888672646783</v>
      </c>
      <c r="FR31" s="389">
        <f t="shared" si="331"/>
        <v>10.43919057828424</v>
      </c>
      <c r="FS31" s="389">
        <f t="shared" si="331"/>
        <v>16.87006248215177</v>
      </c>
      <c r="FT31" s="389">
        <f t="shared" si="331"/>
        <v>24.343329486535282</v>
      </c>
      <c r="FU31" s="389">
        <f t="shared" si="331"/>
        <v>20.00816522907747</v>
      </c>
      <c r="FV31" s="389">
        <f t="shared" si="331"/>
        <v>16.174437813964481</v>
      </c>
      <c r="FW31" s="389">
        <f t="shared" si="331"/>
        <v>12.80954028432304</v>
      </c>
      <c r="FX31" s="389">
        <f t="shared" si="331"/>
        <v>9.2986167292210986</v>
      </c>
      <c r="FY31" s="384">
        <f t="shared" ref="FY31:HY31" si="332">(FY30/FL30-1)*100</f>
        <v>14.821433871019863</v>
      </c>
      <c r="FZ31" s="389">
        <f t="shared" si="332"/>
        <v>7.0075996697906984</v>
      </c>
      <c r="GA31" s="389">
        <f t="shared" si="332"/>
        <v>12.559539216139015</v>
      </c>
      <c r="GB31" s="389">
        <f t="shared" si="332"/>
        <v>7.5979602185128225</v>
      </c>
      <c r="GC31" s="389">
        <f t="shared" si="332"/>
        <v>9.692479905808149</v>
      </c>
      <c r="GD31" s="413">
        <f t="shared" si="332"/>
        <v>15.303405081247723</v>
      </c>
      <c r="GE31" s="413">
        <f t="shared" si="332"/>
        <v>11.474269375355007</v>
      </c>
      <c r="GF31" s="413">
        <f t="shared" si="332"/>
        <v>5.1209024517104851</v>
      </c>
      <c r="GG31" s="413">
        <f t="shared" si="332"/>
        <v>-5.2300395888795865</v>
      </c>
      <c r="GH31" s="413">
        <f t="shared" si="332"/>
        <v>-4.7932762872708423</v>
      </c>
      <c r="GI31" s="413">
        <f t="shared" si="332"/>
        <v>-0.96802433845544211</v>
      </c>
      <c r="GJ31" s="413">
        <f t="shared" si="332"/>
        <v>-3.6553169780833894</v>
      </c>
      <c r="GK31" s="413">
        <f t="shared" si="332"/>
        <v>-6.993802499021684</v>
      </c>
      <c r="GL31" s="384">
        <f t="shared" si="332"/>
        <v>3.5635822095765768</v>
      </c>
      <c r="GM31" s="389">
        <f t="shared" si="332"/>
        <v>-5.4634275840865554</v>
      </c>
      <c r="GN31" s="389">
        <f t="shared" si="332"/>
        <v>-3.7061138187799769</v>
      </c>
      <c r="GO31" s="389">
        <f t="shared" si="332"/>
        <v>-3.0039790392113241</v>
      </c>
      <c r="GP31" s="389">
        <f t="shared" si="332"/>
        <v>3.5788226307181592</v>
      </c>
      <c r="GQ31" s="389">
        <f t="shared" si="332"/>
        <v>6.8119183031718933</v>
      </c>
      <c r="GR31" s="389">
        <f t="shared" si="332"/>
        <v>-0.87751943310487857</v>
      </c>
      <c r="GS31" s="273">
        <f t="shared" si="332"/>
        <v>1.8335297714694665</v>
      </c>
      <c r="GT31" s="389">
        <f t="shared" si="332"/>
        <v>1.2814415309354565</v>
      </c>
      <c r="GU31" s="389">
        <f t="shared" si="332"/>
        <v>4.6511604366416215</v>
      </c>
      <c r="GV31" s="389">
        <f t="shared" si="332"/>
        <v>3.4395183189612988</v>
      </c>
      <c r="GW31" s="389">
        <f t="shared" si="332"/>
        <v>8.0589914465286849</v>
      </c>
      <c r="GX31" s="389">
        <f t="shared" si="332"/>
        <v>12.150270390157658</v>
      </c>
      <c r="GY31" s="384">
        <f t="shared" si="332"/>
        <v>2.3109329771259235</v>
      </c>
      <c r="GZ31" s="389">
        <f t="shared" si="332"/>
        <v>5.8004094632575276</v>
      </c>
      <c r="HA31" s="389">
        <f t="shared" si="332"/>
        <v>1.9795681770890194</v>
      </c>
      <c r="HB31" s="389">
        <f t="shared" si="332"/>
        <v>1.2669731321440558</v>
      </c>
      <c r="HC31" s="389">
        <f t="shared" si="332"/>
        <v>-3.1585625637626569</v>
      </c>
      <c r="HD31" s="389">
        <f t="shared" si="332"/>
        <v>-2.6694845656616839</v>
      </c>
      <c r="HE31" s="389">
        <f t="shared" si="332"/>
        <v>3.3804793801828659</v>
      </c>
      <c r="HF31" s="389">
        <f t="shared" si="332"/>
        <v>0.39827317087954839</v>
      </c>
      <c r="HG31" s="389">
        <f t="shared" si="332"/>
        <v>-3.9660554692587335</v>
      </c>
      <c r="HH31" s="389">
        <f t="shared" si="332"/>
        <v>3.7636878743883218</v>
      </c>
      <c r="HI31" s="389">
        <f t="shared" si="332"/>
        <v>0.80399637380070832</v>
      </c>
      <c r="HJ31" s="389">
        <f t="shared" si="332"/>
        <v>-5.6594851789461114</v>
      </c>
      <c r="HK31" s="389">
        <f t="shared" si="332"/>
        <v>-5.9876611428759769</v>
      </c>
      <c r="HL31" s="384">
        <f t="shared" si="332"/>
        <v>-0.38768557555898253</v>
      </c>
      <c r="HM31" s="389">
        <f t="shared" si="332"/>
        <v>0.33393071845011502</v>
      </c>
      <c r="HN31" s="273">
        <f t="shared" si="332"/>
        <v>0.11523647768920675</v>
      </c>
      <c r="HO31" s="413">
        <f t="shared" si="332"/>
        <v>3.4046012377189738</v>
      </c>
      <c r="HP31" s="273">
        <f t="shared" si="332"/>
        <v>0.15094310148040524</v>
      </c>
      <c r="HQ31" s="413">
        <f t="shared" si="332"/>
        <v>-11.779118563401259</v>
      </c>
      <c r="HR31" s="413">
        <f t="shared" si="332"/>
        <v>-7.7766179054692746</v>
      </c>
      <c r="HS31" s="413">
        <f t="shared" si="332"/>
        <v>-9.8602564308173495</v>
      </c>
      <c r="HT31" s="413">
        <f t="shared" si="332"/>
        <v>-6.8200896787535159</v>
      </c>
      <c r="HU31" s="413">
        <f t="shared" si="332"/>
        <v>-10.98843734502648</v>
      </c>
      <c r="HV31" s="413">
        <f t="shared" si="332"/>
        <v>-8.7346389701294704</v>
      </c>
      <c r="HW31" s="413">
        <f t="shared" si="332"/>
        <v>-1.1472520720870016</v>
      </c>
      <c r="HX31" s="413">
        <f t="shared" si="332"/>
        <v>-4.1786067461148102</v>
      </c>
      <c r="HY31" s="460">
        <f t="shared" si="332"/>
        <v>-4.8242440228825956</v>
      </c>
      <c r="HZ31" s="471">
        <f>(837/885-1)*100</f>
        <v>-5.4237288135593253</v>
      </c>
      <c r="IA31" s="471">
        <f>(982/1030-1)*100</f>
        <v>-4.6601941747572813</v>
      </c>
      <c r="IB31" s="471">
        <f>(1026/1065-1)*100</f>
        <v>-3.6619718309859106</v>
      </c>
      <c r="IC31" s="471">
        <f>(1042/1026-1)*100</f>
        <v>1.5594541910331383</v>
      </c>
      <c r="ID31" s="471">
        <f>(861/826-1)*100</f>
        <v>4.2372881355932313</v>
      </c>
      <c r="IE31" s="471">
        <f>(962/990-1)*100</f>
        <v>-2.8282828282828243</v>
      </c>
      <c r="IF31" s="471">
        <f>(1008/955-1)*100</f>
        <v>5.5497382198952838</v>
      </c>
      <c r="IG31" s="471">
        <f>(882/774-1)*100</f>
        <v>13.953488372093027</v>
      </c>
      <c r="IH31" s="471">
        <f>(9464/9118-1)*100</f>
        <v>3.794691818381235</v>
      </c>
      <c r="II31" s="471">
        <f>(1019/974-1)*100</f>
        <v>4.62012320328542</v>
      </c>
      <c r="IJ31" s="471">
        <f>(1078/978-1)*100</f>
        <v>10.224948875255624</v>
      </c>
      <c r="IK31" s="471">
        <f>(1030/929-1)*100</f>
        <v>10.871905274488691</v>
      </c>
      <c r="IL31" s="472">
        <f>(11802/11388-1)*100</f>
        <v>3.6354056902001997</v>
      </c>
      <c r="IM31" s="471">
        <f>(904/837-1)*100</f>
        <v>8.0047789725208993</v>
      </c>
      <c r="IN31" s="502">
        <f>(IN30/IA30-1)*100</f>
        <v>6.8703696915639378</v>
      </c>
      <c r="IO31" s="502">
        <f t="shared" ref="IO31:IX31" si="333">(IO30/IB30-1)*100</f>
        <v>11.778641874244734</v>
      </c>
      <c r="IP31" s="502">
        <f t="shared" si="333"/>
        <v>7.3313014973997781</v>
      </c>
      <c r="IQ31" s="502">
        <f t="shared" si="333"/>
        <v>7.5723724644803703</v>
      </c>
      <c r="IR31" s="502">
        <f t="shared" si="333"/>
        <v>18.659242275357578</v>
      </c>
      <c r="IS31" s="502">
        <f t="shared" si="333"/>
        <v>10.585117939245192</v>
      </c>
      <c r="IT31" s="502">
        <f t="shared" si="333"/>
        <v>5.1924160919305518</v>
      </c>
      <c r="IU31" s="502">
        <f t="shared" si="333"/>
        <v>2.5548361890941562</v>
      </c>
      <c r="IV31" s="502">
        <f t="shared" si="333"/>
        <v>9.802916734160938</v>
      </c>
      <c r="IW31" s="502">
        <f t="shared" si="333"/>
        <v>2.1078430008874216</v>
      </c>
      <c r="IX31" s="502">
        <f t="shared" si="333"/>
        <v>7.7928144014946854</v>
      </c>
      <c r="IY31" s="465">
        <f t="shared" ref="IY31:IZ31" si="334">(IY30/IL30-1)*100</f>
        <v>8.1255130615036641</v>
      </c>
      <c r="IZ31" s="502">
        <f t="shared" si="334"/>
        <v>4.2961800915149562</v>
      </c>
      <c r="JA31" s="502">
        <f>(JA30/IN30-1)*100</f>
        <v>7.9913985542940047</v>
      </c>
      <c r="JB31" s="502">
        <f t="shared" ref="JB31:JE31" si="335">(JB30/IO30-1)*100</f>
        <v>3.7121735893208552</v>
      </c>
      <c r="JC31" s="502">
        <f t="shared" si="335"/>
        <v>5.8993823006017854</v>
      </c>
      <c r="JD31" s="502">
        <f t="shared" si="335"/>
        <v>11.56963294012947</v>
      </c>
      <c r="JE31" s="502">
        <f t="shared" si="335"/>
        <v>8.1351981351981415</v>
      </c>
      <c r="JF31" s="502">
        <f>(JF30/1115-1)*100</f>
        <v>9.6860986547085304</v>
      </c>
      <c r="JG31" s="502">
        <f>(JG30/927-1)*100</f>
        <v>7.1197411003236288</v>
      </c>
      <c r="JH31" s="502">
        <f>(JH30/1102-1)*100</f>
        <v>7.622504537205077</v>
      </c>
      <c r="JI31" s="502">
        <f>(JI30/1118-1)*100</f>
        <v>14.221824686940977</v>
      </c>
      <c r="JJ31" s="502">
        <f>(JJ30/1101-1)*100</f>
        <v>13.533151680290656</v>
      </c>
      <c r="JK31" s="502">
        <f>(JK30/1110-1)*100</f>
        <v>7.2072072072072002</v>
      </c>
      <c r="JL31" s="511">
        <f>(JL30/12761-1)*100</f>
        <v>8.4319410704490227</v>
      </c>
      <c r="JM31" s="502">
        <f>(JM30/943-1)*100</f>
        <v>4.9840933191940717</v>
      </c>
      <c r="JN31" s="566">
        <f>(JN30/1134-1)*100</f>
        <v>3.9682539682539764</v>
      </c>
    </row>
    <row r="32" spans="1:274" ht="13.5" customHeight="1" x14ac:dyDescent="0.3">
      <c r="A32" s="80" t="s">
        <v>416</v>
      </c>
      <c r="B32" s="79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</row>
  </sheetData>
  <mergeCells count="7">
    <mergeCell ref="A24:A27"/>
    <mergeCell ref="A28:A31"/>
    <mergeCell ref="A4:A7"/>
    <mergeCell ref="A8:A11"/>
    <mergeCell ref="A12:A15"/>
    <mergeCell ref="A16:A19"/>
    <mergeCell ref="A20:A23"/>
  </mergeCells>
  <phoneticPr fontId="2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 alignWithMargins="0">
    <oddHeader>&amp;L金属熱処理加工月報（加工方法別）</oddHeader>
  </headerFooter>
  <colBreaks count="18" manualBreakCount="18">
    <brk id="14" max="31" man="1"/>
    <brk id="26" max="31" man="1"/>
    <brk id="38" max="31" man="1"/>
    <brk id="51" max="31" man="1"/>
    <brk id="64" max="31" man="1"/>
    <brk id="77" max="31" man="1"/>
    <brk id="103" max="31" man="1"/>
    <brk id="116" max="31" man="1"/>
    <brk id="129" max="31" man="1"/>
    <brk id="142" max="31" man="1"/>
    <brk id="155" max="31" man="1"/>
    <brk id="168" max="31" man="1"/>
    <brk id="181" max="31" man="1"/>
    <brk id="194" max="31" man="1"/>
    <brk id="207" max="31" man="1"/>
    <brk id="220" max="31" man="1"/>
    <brk id="233" max="31" man="1"/>
    <brk id="247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81"/>
  <sheetViews>
    <sheetView zoomScaleNormal="100" workbookViewId="0">
      <pane xSplit="2" ySplit="3" topLeftCell="IW4" activePane="bottomRight" state="frozen"/>
      <selection pane="topRight" activeCell="C1" sqref="C1"/>
      <selection pane="bottomLeft" activeCell="A4" sqref="A4"/>
      <selection pane="bottomRight" activeCell="JN16" sqref="JN16"/>
    </sheetView>
  </sheetViews>
  <sheetFormatPr defaultColWidth="9" defaultRowHeight="18.75" x14ac:dyDescent="0.3"/>
  <cols>
    <col min="1" max="1" width="16.625" style="6" customWidth="1"/>
    <col min="2" max="52" width="8.625" style="6" customWidth="1"/>
    <col min="53" max="81" width="9" style="6" customWidth="1"/>
    <col min="82" max="83" width="9" style="145" customWidth="1"/>
    <col min="84" max="90" width="9" style="6" customWidth="1"/>
    <col min="91" max="96" width="9" style="264" customWidth="1"/>
    <col min="97" max="229" width="9" style="6" customWidth="1"/>
    <col min="230" max="233" width="9" style="6"/>
    <col min="234" max="234" width="9" style="6" customWidth="1"/>
    <col min="235" max="237" width="9" style="6"/>
    <col min="238" max="245" width="9" style="6" customWidth="1"/>
    <col min="246" max="246" width="9" style="6"/>
    <col min="247" max="256" width="9" style="6" customWidth="1"/>
    <col min="257" max="257" width="9" style="264" customWidth="1"/>
    <col min="258" max="272" width="9" style="6" customWidth="1"/>
    <col min="273" max="16384" width="9" style="6"/>
  </cols>
  <sheetData>
    <row r="1" spans="1:274" ht="26.25" x14ac:dyDescent="0.4">
      <c r="A1" s="1"/>
      <c r="B1" s="1"/>
      <c r="C1" s="1"/>
      <c r="D1" s="1"/>
      <c r="E1" s="1"/>
      <c r="F1" s="2"/>
      <c r="G1" s="3" t="s">
        <v>0</v>
      </c>
      <c r="H1" s="3"/>
      <c r="I1" s="4" t="s">
        <v>120</v>
      </c>
      <c r="J1" s="5"/>
      <c r="L1" s="7"/>
      <c r="M1" s="7"/>
      <c r="N1" s="7"/>
      <c r="O1" s="8"/>
      <c r="P1" s="8"/>
      <c r="Q1" s="8"/>
      <c r="R1" s="8"/>
      <c r="S1" s="8"/>
      <c r="T1" s="8"/>
      <c r="U1" s="8"/>
      <c r="V1" s="8"/>
      <c r="W1" s="8"/>
      <c r="X1" s="8"/>
      <c r="Y1" s="8" t="s">
        <v>1</v>
      </c>
      <c r="Z1" s="1"/>
    </row>
    <row r="2" spans="1:274" ht="19.5" thickBot="1" x14ac:dyDescent="0.35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6"/>
      <c r="P2" s="46"/>
      <c r="Q2" s="46"/>
      <c r="R2" s="46"/>
      <c r="S2" s="46"/>
      <c r="T2" s="46"/>
      <c r="U2" s="46"/>
      <c r="V2" s="46"/>
      <c r="W2" s="46"/>
      <c r="X2" s="46"/>
      <c r="Y2" s="46" t="s">
        <v>3</v>
      </c>
      <c r="Z2" s="1"/>
    </row>
    <row r="3" spans="1:274" ht="13.5" customHeight="1" thickBot="1" x14ac:dyDescent="0.35">
      <c r="A3" s="50"/>
      <c r="B3" s="51" t="s">
        <v>4</v>
      </c>
      <c r="C3" s="52" t="s">
        <v>5</v>
      </c>
      <c r="D3" s="53" t="s">
        <v>6</v>
      </c>
      <c r="E3" s="52" t="s">
        <v>7</v>
      </c>
      <c r="F3" s="53" t="s">
        <v>8</v>
      </c>
      <c r="G3" s="52" t="s">
        <v>9</v>
      </c>
      <c r="H3" s="53" t="s">
        <v>10</v>
      </c>
      <c r="I3" s="52" t="s">
        <v>11</v>
      </c>
      <c r="J3" s="53" t="s">
        <v>12</v>
      </c>
      <c r="K3" s="52" t="s">
        <v>13</v>
      </c>
      <c r="L3" s="53" t="s">
        <v>14</v>
      </c>
      <c r="M3" s="52" t="s">
        <v>15</v>
      </c>
      <c r="N3" s="53" t="s">
        <v>16</v>
      </c>
      <c r="O3" s="54" t="s">
        <v>17</v>
      </c>
      <c r="P3" s="55" t="s">
        <v>18</v>
      </c>
      <c r="Q3" s="55" t="s">
        <v>19</v>
      </c>
      <c r="R3" s="55" t="s">
        <v>20</v>
      </c>
      <c r="S3" s="55" t="s">
        <v>21</v>
      </c>
      <c r="T3" s="55" t="s">
        <v>22</v>
      </c>
      <c r="U3" s="55" t="s">
        <v>23</v>
      </c>
      <c r="V3" s="55" t="s">
        <v>24</v>
      </c>
      <c r="W3" s="55" t="s">
        <v>25</v>
      </c>
      <c r="X3" s="55" t="s">
        <v>26</v>
      </c>
      <c r="Y3" s="55" t="s">
        <v>27</v>
      </c>
      <c r="Z3" s="56" t="s">
        <v>28</v>
      </c>
      <c r="AA3" s="57" t="s">
        <v>29</v>
      </c>
      <c r="AB3" s="58" t="s">
        <v>30</v>
      </c>
      <c r="AC3" s="57" t="s">
        <v>31</v>
      </c>
      <c r="AD3" s="58" t="s">
        <v>32</v>
      </c>
      <c r="AE3" s="57" t="s">
        <v>109</v>
      </c>
      <c r="AF3" s="58" t="s">
        <v>110</v>
      </c>
      <c r="AG3" s="57" t="s">
        <v>111</v>
      </c>
      <c r="AH3" s="58" t="s">
        <v>112</v>
      </c>
      <c r="AI3" s="57" t="s">
        <v>113</v>
      </c>
      <c r="AJ3" s="58" t="s">
        <v>114</v>
      </c>
      <c r="AK3" s="57" t="s">
        <v>115</v>
      </c>
      <c r="AL3" s="58" t="s">
        <v>116</v>
      </c>
      <c r="AM3" s="53" t="s">
        <v>176</v>
      </c>
      <c r="AN3" s="120" t="s">
        <v>33</v>
      </c>
      <c r="AO3" s="58" t="s">
        <v>117</v>
      </c>
      <c r="AP3" s="99" t="s">
        <v>118</v>
      </c>
      <c r="AQ3" s="57" t="s">
        <v>143</v>
      </c>
      <c r="AR3" s="57" t="s">
        <v>144</v>
      </c>
      <c r="AS3" s="58" t="s">
        <v>151</v>
      </c>
      <c r="AT3" s="57" t="s">
        <v>145</v>
      </c>
      <c r="AU3" s="58" t="s">
        <v>146</v>
      </c>
      <c r="AV3" s="57" t="s">
        <v>147</v>
      </c>
      <c r="AW3" s="58" t="s">
        <v>148</v>
      </c>
      <c r="AX3" s="57" t="s">
        <v>149</v>
      </c>
      <c r="AY3" s="81" t="s">
        <v>150</v>
      </c>
      <c r="AZ3" s="53" t="s">
        <v>191</v>
      </c>
      <c r="BA3" s="111" t="s">
        <v>164</v>
      </c>
      <c r="BB3" s="112" t="s">
        <v>166</v>
      </c>
      <c r="BC3" s="112" t="s">
        <v>167</v>
      </c>
      <c r="BD3" s="112" t="s">
        <v>168</v>
      </c>
      <c r="BE3" s="112" t="s">
        <v>171</v>
      </c>
      <c r="BF3" s="112" t="s">
        <v>174</v>
      </c>
      <c r="BG3" s="112" t="s">
        <v>175</v>
      </c>
      <c r="BH3" s="112" t="s">
        <v>181</v>
      </c>
      <c r="BI3" s="112" t="s">
        <v>183</v>
      </c>
      <c r="BJ3" s="112" t="s">
        <v>185</v>
      </c>
      <c r="BK3" s="112" t="s">
        <v>187</v>
      </c>
      <c r="BL3" s="112" t="s">
        <v>190</v>
      </c>
      <c r="BM3" s="112" t="s">
        <v>195</v>
      </c>
      <c r="BN3" s="112" t="s">
        <v>198</v>
      </c>
      <c r="BO3" s="112" t="s">
        <v>199</v>
      </c>
      <c r="BP3" s="112" t="s">
        <v>201</v>
      </c>
      <c r="BQ3" s="112" t="s">
        <v>204</v>
      </c>
      <c r="BR3" s="112" t="s">
        <v>206</v>
      </c>
      <c r="BS3" s="112" t="s">
        <v>209</v>
      </c>
      <c r="BT3" s="141" t="s">
        <v>211</v>
      </c>
      <c r="BU3" s="141" t="s">
        <v>213</v>
      </c>
      <c r="BV3" s="141" t="s">
        <v>215</v>
      </c>
      <c r="BW3" s="141" t="s">
        <v>217</v>
      </c>
      <c r="BX3" s="141" t="s">
        <v>219</v>
      </c>
      <c r="BY3" s="53" t="s">
        <v>220</v>
      </c>
      <c r="BZ3" s="141" t="s">
        <v>221</v>
      </c>
      <c r="CA3" s="112" t="s">
        <v>223</v>
      </c>
      <c r="CB3" s="112" t="s">
        <v>224</v>
      </c>
      <c r="CC3" s="112" t="s">
        <v>225</v>
      </c>
      <c r="CD3" s="146" t="s">
        <v>226</v>
      </c>
      <c r="CE3" s="151" t="s">
        <v>227</v>
      </c>
      <c r="CF3" s="151" t="s">
        <v>228</v>
      </c>
      <c r="CG3" s="151" t="s">
        <v>229</v>
      </c>
      <c r="CH3" s="151" t="s">
        <v>230</v>
      </c>
      <c r="CI3" s="151" t="s">
        <v>231</v>
      </c>
      <c r="CJ3" s="151" t="s">
        <v>232</v>
      </c>
      <c r="CK3" s="366" t="s">
        <v>233</v>
      </c>
      <c r="CL3" s="336" t="s">
        <v>252</v>
      </c>
      <c r="CM3" s="265" t="s">
        <v>234</v>
      </c>
      <c r="CN3" s="266" t="s">
        <v>235</v>
      </c>
      <c r="CO3" s="266" t="s">
        <v>236</v>
      </c>
      <c r="CP3" s="322" t="s">
        <v>237</v>
      </c>
      <c r="CQ3" s="322" t="s">
        <v>238</v>
      </c>
      <c r="CR3" s="322" t="s">
        <v>239</v>
      </c>
      <c r="CS3" s="322" t="s">
        <v>240</v>
      </c>
      <c r="CT3" s="322" t="s">
        <v>241</v>
      </c>
      <c r="CU3" s="322" t="s">
        <v>242</v>
      </c>
      <c r="CV3" s="322" t="s">
        <v>243</v>
      </c>
      <c r="CW3" s="322" t="s">
        <v>244</v>
      </c>
      <c r="CX3" s="312" t="s">
        <v>245</v>
      </c>
      <c r="CY3" s="364" t="s">
        <v>250</v>
      </c>
      <c r="CZ3" s="322" t="s">
        <v>251</v>
      </c>
      <c r="DA3" s="322" t="s">
        <v>253</v>
      </c>
      <c r="DB3" s="322" t="s">
        <v>255</v>
      </c>
      <c r="DC3" s="322" t="s">
        <v>257</v>
      </c>
      <c r="DD3" s="322" t="s">
        <v>259</v>
      </c>
      <c r="DE3" s="322" t="s">
        <v>261</v>
      </c>
      <c r="DF3" s="322" t="s">
        <v>263</v>
      </c>
      <c r="DG3" s="322" t="s">
        <v>265</v>
      </c>
      <c r="DH3" s="322" t="s">
        <v>267</v>
      </c>
      <c r="DI3" s="322" t="s">
        <v>268</v>
      </c>
      <c r="DJ3" s="322" t="s">
        <v>270</v>
      </c>
      <c r="DK3" s="322" t="s">
        <v>271</v>
      </c>
      <c r="DL3" s="364" t="s">
        <v>274</v>
      </c>
      <c r="DM3" s="322" t="s">
        <v>273</v>
      </c>
      <c r="DN3" s="322" t="s">
        <v>276</v>
      </c>
      <c r="DO3" s="322" t="s">
        <v>277</v>
      </c>
      <c r="DP3" s="322" t="s">
        <v>278</v>
      </c>
      <c r="DQ3" s="322" t="s">
        <v>280</v>
      </c>
      <c r="DR3" s="322" t="s">
        <v>281</v>
      </c>
      <c r="DS3" s="322" t="s">
        <v>282</v>
      </c>
      <c r="DT3" s="322" t="s">
        <v>283</v>
      </c>
      <c r="DU3" s="322" t="s">
        <v>284</v>
      </c>
      <c r="DV3" s="322" t="s">
        <v>285</v>
      </c>
      <c r="DW3" s="322" t="s">
        <v>286</v>
      </c>
      <c r="DX3" s="266" t="s">
        <v>287</v>
      </c>
      <c r="DY3" s="364" t="s">
        <v>289</v>
      </c>
      <c r="DZ3" s="284" t="s">
        <v>291</v>
      </c>
      <c r="EA3" s="284" t="s">
        <v>292</v>
      </c>
      <c r="EB3" s="284" t="s">
        <v>293</v>
      </c>
      <c r="EC3" s="284" t="s">
        <v>294</v>
      </c>
      <c r="ED3" s="284" t="s">
        <v>295</v>
      </c>
      <c r="EE3" s="284" t="s">
        <v>296</v>
      </c>
      <c r="EF3" s="284" t="s">
        <v>297</v>
      </c>
      <c r="EG3" s="284" t="s">
        <v>298</v>
      </c>
      <c r="EH3" s="284" t="s">
        <v>299</v>
      </c>
      <c r="EI3" s="284" t="s">
        <v>300</v>
      </c>
      <c r="EJ3" s="284" t="s">
        <v>301</v>
      </c>
      <c r="EK3" s="284" t="s">
        <v>302</v>
      </c>
      <c r="EL3" s="364" t="s">
        <v>304</v>
      </c>
      <c r="EM3" s="284" t="s">
        <v>303</v>
      </c>
      <c r="EN3" s="284" t="s">
        <v>306</v>
      </c>
      <c r="EO3" s="284" t="s">
        <v>307</v>
      </c>
      <c r="EP3" s="284" t="s">
        <v>308</v>
      </c>
      <c r="EQ3" s="284" t="s">
        <v>309</v>
      </c>
      <c r="ER3" s="284" t="s">
        <v>310</v>
      </c>
      <c r="ES3" s="284" t="s">
        <v>311</v>
      </c>
      <c r="ET3" s="284" t="s">
        <v>312</v>
      </c>
      <c r="EU3" s="284" t="s">
        <v>313</v>
      </c>
      <c r="EV3" s="284" t="s">
        <v>314</v>
      </c>
      <c r="EW3" s="284" t="s">
        <v>315</v>
      </c>
      <c r="EX3" s="284" t="s">
        <v>316</v>
      </c>
      <c r="EY3" s="364" t="s">
        <v>319</v>
      </c>
      <c r="EZ3" s="284" t="s">
        <v>318</v>
      </c>
      <c r="FA3" s="284" t="s">
        <v>320</v>
      </c>
      <c r="FB3" s="284" t="s">
        <v>321</v>
      </c>
      <c r="FC3" s="284" t="s">
        <v>322</v>
      </c>
      <c r="FD3" s="284" t="s">
        <v>323</v>
      </c>
      <c r="FE3" s="284" t="s">
        <v>324</v>
      </c>
      <c r="FF3" s="284" t="s">
        <v>325</v>
      </c>
      <c r="FG3" s="284" t="s">
        <v>326</v>
      </c>
      <c r="FH3" s="284" t="s">
        <v>327</v>
      </c>
      <c r="FI3" s="284" t="s">
        <v>328</v>
      </c>
      <c r="FJ3" s="284" t="s">
        <v>329</v>
      </c>
      <c r="FK3" s="284" t="s">
        <v>330</v>
      </c>
      <c r="FL3" s="364" t="s">
        <v>331</v>
      </c>
      <c r="FM3" s="284" t="s">
        <v>333</v>
      </c>
      <c r="FN3" s="284" t="s">
        <v>334</v>
      </c>
      <c r="FO3" s="284" t="s">
        <v>335</v>
      </c>
      <c r="FP3" s="284" t="s">
        <v>336</v>
      </c>
      <c r="FQ3" s="284" t="s">
        <v>337</v>
      </c>
      <c r="FR3" s="284" t="s">
        <v>338</v>
      </c>
      <c r="FS3" s="284" t="s">
        <v>339</v>
      </c>
      <c r="FT3" s="284" t="s">
        <v>340</v>
      </c>
      <c r="FU3" s="284" t="s">
        <v>341</v>
      </c>
      <c r="FV3" s="284" t="s">
        <v>342</v>
      </c>
      <c r="FW3" s="284" t="s">
        <v>343</v>
      </c>
      <c r="FX3" s="284" t="s">
        <v>344</v>
      </c>
      <c r="FY3" s="364" t="s">
        <v>345</v>
      </c>
      <c r="FZ3" s="284" t="s">
        <v>346</v>
      </c>
      <c r="GA3" s="284" t="s">
        <v>348</v>
      </c>
      <c r="GB3" s="284" t="s">
        <v>349</v>
      </c>
      <c r="GC3" s="284" t="s">
        <v>350</v>
      </c>
      <c r="GD3" s="284" t="s">
        <v>351</v>
      </c>
      <c r="GE3" s="284" t="s">
        <v>352</v>
      </c>
      <c r="GF3" s="284" t="s">
        <v>353</v>
      </c>
      <c r="GG3" s="284" t="s">
        <v>354</v>
      </c>
      <c r="GH3" s="284" t="s">
        <v>355</v>
      </c>
      <c r="GI3" s="284" t="s">
        <v>356</v>
      </c>
      <c r="GJ3" s="284" t="s">
        <v>357</v>
      </c>
      <c r="GK3" s="284" t="s">
        <v>358</v>
      </c>
      <c r="GL3" s="364" t="s">
        <v>360</v>
      </c>
      <c r="GM3" s="284" t="s">
        <v>361</v>
      </c>
      <c r="GN3" s="284" t="s">
        <v>362</v>
      </c>
      <c r="GO3" s="284" t="s">
        <v>363</v>
      </c>
      <c r="GP3" s="284" t="s">
        <v>364</v>
      </c>
      <c r="GQ3" s="284" t="s">
        <v>365</v>
      </c>
      <c r="GR3" s="284" t="s">
        <v>366</v>
      </c>
      <c r="GS3" s="284" t="s">
        <v>367</v>
      </c>
      <c r="GT3" s="284" t="s">
        <v>368</v>
      </c>
      <c r="GU3" s="284" t="s">
        <v>369</v>
      </c>
      <c r="GV3" s="284" t="s">
        <v>370</v>
      </c>
      <c r="GW3" s="284" t="s">
        <v>371</v>
      </c>
      <c r="GX3" s="284" t="s">
        <v>372</v>
      </c>
      <c r="GY3" s="364" t="s">
        <v>375</v>
      </c>
      <c r="GZ3" s="284" t="s">
        <v>374</v>
      </c>
      <c r="HA3" s="284" t="s">
        <v>377</v>
      </c>
      <c r="HB3" s="284" t="s">
        <v>378</v>
      </c>
      <c r="HC3" s="284" t="s">
        <v>379</v>
      </c>
      <c r="HD3" s="284" t="s">
        <v>380</v>
      </c>
      <c r="HE3" s="284" t="s">
        <v>381</v>
      </c>
      <c r="HF3" s="284" t="s">
        <v>382</v>
      </c>
      <c r="HG3" s="284" t="s">
        <v>383</v>
      </c>
      <c r="HH3" s="284" t="s">
        <v>384</v>
      </c>
      <c r="HI3" s="284" t="s">
        <v>385</v>
      </c>
      <c r="HJ3" s="284" t="s">
        <v>386</v>
      </c>
      <c r="HK3" s="284" t="s">
        <v>387</v>
      </c>
      <c r="HL3" s="364" t="s">
        <v>388</v>
      </c>
      <c r="HM3" s="284" t="s">
        <v>390</v>
      </c>
      <c r="HN3" s="284" t="s">
        <v>391</v>
      </c>
      <c r="HO3" s="409" t="s">
        <v>392</v>
      </c>
      <c r="HP3" s="265" t="s">
        <v>393</v>
      </c>
      <c r="HQ3" s="409" t="s">
        <v>394</v>
      </c>
      <c r="HR3" s="409" t="s">
        <v>395</v>
      </c>
      <c r="HS3" s="409" t="s">
        <v>396</v>
      </c>
      <c r="HT3" s="409" t="s">
        <v>397</v>
      </c>
      <c r="HU3" s="409" t="s">
        <v>398</v>
      </c>
      <c r="HV3" s="409" t="s">
        <v>399</v>
      </c>
      <c r="HW3" s="409" t="s">
        <v>400</v>
      </c>
      <c r="HX3" s="409" t="s">
        <v>401</v>
      </c>
      <c r="HY3" s="455" t="s">
        <v>403</v>
      </c>
      <c r="HZ3" s="409" t="s">
        <v>404</v>
      </c>
      <c r="IA3" s="409" t="s">
        <v>405</v>
      </c>
      <c r="IB3" s="409" t="s">
        <v>406</v>
      </c>
      <c r="IC3" s="409" t="s">
        <v>407</v>
      </c>
      <c r="ID3" s="409" t="s">
        <v>408</v>
      </c>
      <c r="IE3" s="409" t="s">
        <v>409</v>
      </c>
      <c r="IF3" s="409" t="s">
        <v>410</v>
      </c>
      <c r="IG3" s="409" t="s">
        <v>411</v>
      </c>
      <c r="IH3" s="409" t="s">
        <v>412</v>
      </c>
      <c r="II3" s="409" t="s">
        <v>413</v>
      </c>
      <c r="IJ3" s="409" t="s">
        <v>414</v>
      </c>
      <c r="IK3" s="409" t="s">
        <v>415</v>
      </c>
      <c r="IL3" s="475" t="s">
        <v>434</v>
      </c>
      <c r="IM3" s="409" t="s">
        <v>421</v>
      </c>
      <c r="IN3" s="409" t="s">
        <v>422</v>
      </c>
      <c r="IO3" s="409" t="s">
        <v>423</v>
      </c>
      <c r="IP3" s="409" t="s">
        <v>424</v>
      </c>
      <c r="IQ3" s="409" t="s">
        <v>425</v>
      </c>
      <c r="IR3" s="409" t="s">
        <v>426</v>
      </c>
      <c r="IS3" s="409" t="s">
        <v>427</v>
      </c>
      <c r="IT3" s="409" t="s">
        <v>428</v>
      </c>
      <c r="IU3" s="409" t="s">
        <v>429</v>
      </c>
      <c r="IV3" s="409" t="s">
        <v>430</v>
      </c>
      <c r="IW3" s="409" t="s">
        <v>431</v>
      </c>
      <c r="IX3" s="409" t="s">
        <v>432</v>
      </c>
      <c r="IY3" s="475" t="s">
        <v>433</v>
      </c>
      <c r="IZ3" s="430" t="s">
        <v>436</v>
      </c>
      <c r="JA3" s="430" t="s">
        <v>437</v>
      </c>
      <c r="JB3" s="430" t="s">
        <v>438</v>
      </c>
      <c r="JC3" s="430" t="s">
        <v>439</v>
      </c>
      <c r="JD3" s="430" t="s">
        <v>440</v>
      </c>
      <c r="JE3" s="430" t="s">
        <v>441</v>
      </c>
      <c r="JF3" s="430" t="s">
        <v>442</v>
      </c>
      <c r="JG3" s="430" t="s">
        <v>443</v>
      </c>
      <c r="JH3" s="430" t="s">
        <v>444</v>
      </c>
      <c r="JI3" s="430" t="s">
        <v>445</v>
      </c>
      <c r="JJ3" s="430" t="s">
        <v>446</v>
      </c>
      <c r="JK3" s="430" t="s">
        <v>447</v>
      </c>
      <c r="JL3" s="462" t="s">
        <v>448</v>
      </c>
      <c r="JM3" s="537" t="s">
        <v>449</v>
      </c>
      <c r="JN3" s="562" t="s">
        <v>450</v>
      </c>
    </row>
    <row r="4" spans="1:274" ht="13.5" customHeight="1" x14ac:dyDescent="0.3">
      <c r="A4" s="545" t="s">
        <v>104</v>
      </c>
      <c r="B4" s="70" t="s">
        <v>103</v>
      </c>
      <c r="C4" s="12">
        <v>83227</v>
      </c>
      <c r="D4" s="13">
        <v>90194</v>
      </c>
      <c r="E4" s="14">
        <v>90032</v>
      </c>
      <c r="F4" s="13">
        <v>79383</v>
      </c>
      <c r="G4" s="14">
        <v>74378</v>
      </c>
      <c r="H4" s="13">
        <v>73416</v>
      </c>
      <c r="I4" s="14">
        <v>77327</v>
      </c>
      <c r="J4" s="13">
        <v>77563</v>
      </c>
      <c r="K4" s="14">
        <v>80865</v>
      </c>
      <c r="L4" s="13">
        <v>68712</v>
      </c>
      <c r="M4" s="129">
        <v>66892</v>
      </c>
      <c r="N4" s="66">
        <f>SUM(AA4:AL4)</f>
        <v>73016</v>
      </c>
      <c r="O4" s="14">
        <v>4929</v>
      </c>
      <c r="P4" s="13">
        <v>5612</v>
      </c>
      <c r="Q4" s="13">
        <v>5965</v>
      </c>
      <c r="R4" s="13">
        <v>5506</v>
      </c>
      <c r="S4" s="13">
        <v>5025</v>
      </c>
      <c r="T4" s="13">
        <v>5685</v>
      </c>
      <c r="U4" s="13">
        <v>5739</v>
      </c>
      <c r="V4" s="13">
        <v>4900</v>
      </c>
      <c r="W4" s="13">
        <v>5785</v>
      </c>
      <c r="X4" s="13">
        <v>5849</v>
      </c>
      <c r="Y4" s="13">
        <v>6042</v>
      </c>
      <c r="Z4" s="13">
        <v>5855</v>
      </c>
      <c r="AA4" s="14">
        <v>5361</v>
      </c>
      <c r="AB4" s="14">
        <v>6092</v>
      </c>
      <c r="AC4" s="14">
        <v>6455</v>
      </c>
      <c r="AD4" s="14">
        <v>6080</v>
      </c>
      <c r="AE4" s="14">
        <v>5647</v>
      </c>
      <c r="AF4" s="14">
        <v>6461</v>
      </c>
      <c r="AG4" s="14">
        <v>6221</v>
      </c>
      <c r="AH4" s="14">
        <v>5433</v>
      </c>
      <c r="AI4" s="14">
        <v>6237</v>
      </c>
      <c r="AJ4" s="14">
        <v>6455</v>
      </c>
      <c r="AK4" s="14">
        <v>6362</v>
      </c>
      <c r="AL4" s="85">
        <v>6212</v>
      </c>
      <c r="AM4" s="14">
        <f>SUM(AN4:AY4)</f>
        <v>69139</v>
      </c>
      <c r="AN4" s="113">
        <f>AN6+AN8+AN10+AN12+AN14</f>
        <v>5482</v>
      </c>
      <c r="AO4" s="14">
        <f>AO6+AO8+AO10+AO12+AO14</f>
        <v>6226</v>
      </c>
      <c r="AP4" s="85">
        <f>AP6+AP8+AP10+AP12+AP14</f>
        <v>6419</v>
      </c>
      <c r="AQ4" s="101">
        <f>AQ6+AQ8+AQ10+AQ12+AQ14</f>
        <v>6074</v>
      </c>
      <c r="AR4" s="101">
        <f t="shared" ref="AR4:AY4" si="0">AR6+AR8+AR10+AR12+AR14</f>
        <v>5361</v>
      </c>
      <c r="AS4" s="101">
        <f t="shared" si="0"/>
        <v>5920</v>
      </c>
      <c r="AT4" s="101">
        <f t="shared" si="0"/>
        <v>5843</v>
      </c>
      <c r="AU4" s="101">
        <v>5159</v>
      </c>
      <c r="AV4" s="101">
        <f t="shared" si="0"/>
        <v>5712</v>
      </c>
      <c r="AW4" s="101">
        <f t="shared" si="0"/>
        <v>5889</v>
      </c>
      <c r="AX4" s="101">
        <f t="shared" si="0"/>
        <v>5691</v>
      </c>
      <c r="AY4" s="103">
        <f t="shared" si="0"/>
        <v>5363</v>
      </c>
      <c r="AZ4" s="110">
        <f>SUM(BA4:BL4)</f>
        <v>70284</v>
      </c>
      <c r="BA4" s="126">
        <f t="shared" ref="BA4:BF4" si="1">BA6+BA8+BA10+BA12+BA14</f>
        <v>4927</v>
      </c>
      <c r="BB4" s="14">
        <f t="shared" si="1"/>
        <v>5662</v>
      </c>
      <c r="BC4" s="14">
        <f t="shared" si="1"/>
        <v>5767</v>
      </c>
      <c r="BD4" s="14">
        <f t="shared" si="1"/>
        <v>5690</v>
      </c>
      <c r="BE4" s="14">
        <f t="shared" si="1"/>
        <v>5474</v>
      </c>
      <c r="BF4" s="14">
        <f t="shared" si="1"/>
        <v>5930</v>
      </c>
      <c r="BG4" s="14">
        <f t="shared" ref="BG4:BL4" si="2">BG6+BG8+BG10+BG12+BG14</f>
        <v>6298</v>
      </c>
      <c r="BH4" s="14">
        <f t="shared" si="2"/>
        <v>5230</v>
      </c>
      <c r="BI4" s="14">
        <f t="shared" si="2"/>
        <v>6273</v>
      </c>
      <c r="BJ4" s="14">
        <f t="shared" si="2"/>
        <v>6438</v>
      </c>
      <c r="BK4" s="14">
        <f t="shared" si="2"/>
        <v>6369</v>
      </c>
      <c r="BL4" s="14">
        <f t="shared" si="2"/>
        <v>6226</v>
      </c>
      <c r="BM4" s="14">
        <f t="shared" ref="BM4:BR4" si="3">BM6+BM8+BM10+BM12+BM14</f>
        <v>5798</v>
      </c>
      <c r="BN4" s="14">
        <f t="shared" si="3"/>
        <v>6410</v>
      </c>
      <c r="BO4" s="14">
        <f t="shared" si="3"/>
        <v>6545</v>
      </c>
      <c r="BP4" s="14">
        <f t="shared" si="3"/>
        <v>6266</v>
      </c>
      <c r="BQ4" s="14">
        <f t="shared" si="3"/>
        <v>6047</v>
      </c>
      <c r="BR4" s="14">
        <f t="shared" si="3"/>
        <v>6935</v>
      </c>
      <c r="BS4" s="14">
        <f t="shared" ref="BS4:BX4" si="4">BS6+BS8+BS10+BS12+BS14</f>
        <v>6967</v>
      </c>
      <c r="BT4" s="14">
        <f t="shared" si="4"/>
        <v>5814</v>
      </c>
      <c r="BU4" s="14">
        <f t="shared" si="4"/>
        <v>7135</v>
      </c>
      <c r="BV4" s="14">
        <f t="shared" si="4"/>
        <v>7342</v>
      </c>
      <c r="BW4" s="14">
        <f t="shared" si="4"/>
        <v>7018</v>
      </c>
      <c r="BX4" s="14">
        <f t="shared" si="4"/>
        <v>7119</v>
      </c>
      <c r="BY4" s="110">
        <f>SUM(BM4:BX4)</f>
        <v>79396</v>
      </c>
      <c r="BZ4" s="14">
        <f t="shared" ref="BZ4:CE4" si="5">BZ6+BZ8+BZ10+BZ12+BZ14</f>
        <v>6598</v>
      </c>
      <c r="CA4" s="14">
        <f t="shared" si="5"/>
        <v>7386</v>
      </c>
      <c r="CB4" s="14">
        <f t="shared" si="5"/>
        <v>7917</v>
      </c>
      <c r="CC4" s="14">
        <f t="shared" si="5"/>
        <v>7576</v>
      </c>
      <c r="CD4" s="14">
        <f t="shared" si="5"/>
        <v>6808</v>
      </c>
      <c r="CE4" s="85">
        <f t="shared" si="5"/>
        <v>7845</v>
      </c>
      <c r="CF4" s="85">
        <f t="shared" ref="CF4:CM4" si="6">CF6+CF8+CF10+CF12+CF14</f>
        <v>7784</v>
      </c>
      <c r="CG4" s="85">
        <f t="shared" si="6"/>
        <v>6795</v>
      </c>
      <c r="CH4" s="85">
        <f t="shared" si="6"/>
        <v>7962</v>
      </c>
      <c r="CI4" s="85">
        <f t="shared" si="6"/>
        <v>7871</v>
      </c>
      <c r="CJ4" s="257">
        <f t="shared" si="6"/>
        <v>8118.6329999999998</v>
      </c>
      <c r="CK4" s="367">
        <f t="shared" si="6"/>
        <v>7861</v>
      </c>
      <c r="CL4" s="102">
        <f>SUM(BZ4:CK4)</f>
        <v>90521.633000000002</v>
      </c>
      <c r="CM4" s="297">
        <f t="shared" si="6"/>
        <v>7075</v>
      </c>
      <c r="CN4" s="298">
        <f t="shared" ref="CN4:CS4" si="7">CN6+CN8+CN10+CN12+CN14</f>
        <v>7933</v>
      </c>
      <c r="CO4" s="298">
        <f t="shared" si="7"/>
        <v>8579</v>
      </c>
      <c r="CP4" s="376">
        <f t="shared" si="7"/>
        <v>8247</v>
      </c>
      <c r="CQ4" s="376">
        <f t="shared" si="7"/>
        <v>7372</v>
      </c>
      <c r="CR4" s="376">
        <f t="shared" si="7"/>
        <v>8468</v>
      </c>
      <c r="CS4" s="376">
        <f t="shared" si="7"/>
        <v>8245</v>
      </c>
      <c r="CT4" s="376">
        <f>CT6+CT8+CT10+CT12+CT14</f>
        <v>7308</v>
      </c>
      <c r="CU4" s="376">
        <f>CU6+CU8+CU10+CU12+CU14</f>
        <v>8593</v>
      </c>
      <c r="CV4" s="376">
        <f>CV6+CV8+CV10+CV12+CV14</f>
        <v>8538</v>
      </c>
      <c r="CW4" s="376">
        <f>CW6+CW8+CW10+CW12+CW14</f>
        <v>8638</v>
      </c>
      <c r="CX4" s="372">
        <f>CX6+CX8+CX10+CX12+CX14</f>
        <v>8381</v>
      </c>
      <c r="CY4" s="306">
        <f>SUM(CM4:CX4)</f>
        <v>97377</v>
      </c>
      <c r="CZ4" s="376">
        <f t="shared" ref="CZ4:DE4" si="8">CZ6+CZ8+CZ10+CZ12+CZ14</f>
        <v>7592</v>
      </c>
      <c r="DA4" s="376">
        <f t="shared" si="8"/>
        <v>8554</v>
      </c>
      <c r="DB4" s="376">
        <f t="shared" si="8"/>
        <v>9151</v>
      </c>
      <c r="DC4" s="376">
        <f t="shared" si="8"/>
        <v>8776</v>
      </c>
      <c r="DD4" s="376">
        <f t="shared" si="8"/>
        <v>7713</v>
      </c>
      <c r="DE4" s="376">
        <f t="shared" si="8"/>
        <v>8944</v>
      </c>
      <c r="DF4" s="376">
        <f>DF6+DF8+DF10+DF12+DF14</f>
        <v>8723</v>
      </c>
      <c r="DG4" s="376">
        <f>DG6+DG8+DG10+DG12+DG14</f>
        <v>7727</v>
      </c>
      <c r="DH4" s="376">
        <f>DH6+DH8+DH10+DH12+DH14</f>
        <v>8914</v>
      </c>
      <c r="DI4" s="376">
        <v>9191</v>
      </c>
      <c r="DJ4" s="376">
        <f>DJ6+DJ8+DJ10+DJ12+DJ14</f>
        <v>9144</v>
      </c>
      <c r="DK4" s="376">
        <v>8811</v>
      </c>
      <c r="DL4" s="306">
        <f>SUM(CZ4:DK4)</f>
        <v>103240</v>
      </c>
      <c r="DM4" s="376">
        <f>DM6+DM8+DM10+DM12+DM14+1</f>
        <v>7919</v>
      </c>
      <c r="DN4" s="376">
        <f>DN6+DN8+DN10+DN12+DN14</f>
        <v>8977</v>
      </c>
      <c r="DO4" s="376">
        <f>DO6+DO8+DO10+DO12+DO14</f>
        <v>9449</v>
      </c>
      <c r="DP4" s="376">
        <f t="shared" ref="DP4:DU4" si="9">DP6+DP8+DP10+DP12+DP14+1</f>
        <v>9131</v>
      </c>
      <c r="DQ4" s="376">
        <f t="shared" si="9"/>
        <v>8419</v>
      </c>
      <c r="DR4" s="376">
        <f t="shared" si="9"/>
        <v>9389</v>
      </c>
      <c r="DS4" s="376">
        <f t="shared" si="9"/>
        <v>9381</v>
      </c>
      <c r="DT4" s="376">
        <f t="shared" si="9"/>
        <v>8015</v>
      </c>
      <c r="DU4" s="376">
        <f t="shared" si="9"/>
        <v>9272</v>
      </c>
      <c r="DV4" s="376">
        <f>DV6+DV8+DV10+DV12+DV14+1</f>
        <v>9914</v>
      </c>
      <c r="DW4" s="376">
        <f>DW6+DW8+DW10+DW12+DW14+1</f>
        <v>9834</v>
      </c>
      <c r="DX4" s="298">
        <f>DX6+DX8+DX10+DX12+DX14+1</f>
        <v>9262</v>
      </c>
      <c r="DY4" s="306">
        <f>SUM(DM4:DX4)</f>
        <v>108962</v>
      </c>
      <c r="DZ4" s="395">
        <f t="shared" ref="DZ4:EE4" si="10">DZ6+DZ8+DZ10+DZ12+DZ14+1</f>
        <v>8282</v>
      </c>
      <c r="EA4" s="395">
        <f t="shared" si="10"/>
        <v>9822</v>
      </c>
      <c r="EB4" s="395">
        <f t="shared" si="10"/>
        <v>9929</v>
      </c>
      <c r="EC4" s="395">
        <f t="shared" si="10"/>
        <v>9605</v>
      </c>
      <c r="ED4" s="395">
        <f t="shared" si="10"/>
        <v>8901</v>
      </c>
      <c r="EE4" s="395">
        <f t="shared" si="10"/>
        <v>9925</v>
      </c>
      <c r="EF4" s="395">
        <f t="shared" ref="EF4:EK4" si="11">EF6+EF8+EF10+EF12+EF14+1</f>
        <v>10005</v>
      </c>
      <c r="EG4" s="395">
        <f t="shared" si="11"/>
        <v>7933</v>
      </c>
      <c r="EH4" s="395">
        <f t="shared" si="11"/>
        <v>9747</v>
      </c>
      <c r="EI4" s="395">
        <f t="shared" si="11"/>
        <v>9527</v>
      </c>
      <c r="EJ4" s="395">
        <f t="shared" si="11"/>
        <v>8319</v>
      </c>
      <c r="EK4" s="395">
        <f t="shared" si="11"/>
        <v>6867</v>
      </c>
      <c r="EL4" s="306">
        <f>SUM(DZ4:EK4)</f>
        <v>108862</v>
      </c>
      <c r="EM4" s="395">
        <f>EM6+EM8+EM10+EM12+EM14+1</f>
        <v>4923</v>
      </c>
      <c r="EN4" s="395">
        <f>EN6+EN8+EN10+EN12+EN14+1</f>
        <v>4554</v>
      </c>
      <c r="EO4" s="395">
        <f>EO6+EO8+EO10+EO12+EO14+1</f>
        <v>4440</v>
      </c>
      <c r="EP4" s="395">
        <f t="shared" ref="EP4:EU4" si="12">EP6+EP8+EP10+EP12+EP14</f>
        <v>4570.5969999999998</v>
      </c>
      <c r="EQ4" s="395">
        <f t="shared" si="12"/>
        <v>4299.8829999999998</v>
      </c>
      <c r="ER4" s="395">
        <f t="shared" si="12"/>
        <v>5377.5109999999995</v>
      </c>
      <c r="ES4" s="395">
        <f t="shared" si="12"/>
        <v>5652.0830000000005</v>
      </c>
      <c r="ET4" s="395">
        <f t="shared" si="12"/>
        <v>4829.768</v>
      </c>
      <c r="EU4" s="395">
        <f t="shared" si="12"/>
        <v>6077.7649999999994</v>
      </c>
      <c r="EV4" s="395">
        <f>EV6+EV8+EV10+EV12+EV14</f>
        <v>6377.5030000000006</v>
      </c>
      <c r="EW4" s="395">
        <f>EW6+EW8+EW10+EW12+EW14</f>
        <v>6563.5469999999996</v>
      </c>
      <c r="EX4" s="395">
        <f>EX6+EX8+EX10+EX12+EX14</f>
        <v>6402.4450000000006</v>
      </c>
      <c r="EY4" s="306">
        <f>SUM(EM4:EX4)</f>
        <v>64068.101999999999</v>
      </c>
      <c r="EZ4" s="395">
        <f t="shared" ref="EZ4:FE4" si="13">EZ6+EZ8+EZ10+EZ12+EZ14</f>
        <v>6060.7730000000001</v>
      </c>
      <c r="FA4" s="395">
        <f t="shared" si="13"/>
        <v>7008.0610000000006</v>
      </c>
      <c r="FB4" s="395">
        <f t="shared" si="13"/>
        <v>7525.9410000000007</v>
      </c>
      <c r="FC4" s="395">
        <f t="shared" si="13"/>
        <v>7172.7429999999986</v>
      </c>
      <c r="FD4" s="395">
        <f t="shared" si="13"/>
        <v>6549.9530000000004</v>
      </c>
      <c r="FE4" s="395">
        <f t="shared" si="13"/>
        <v>7875.9569999999994</v>
      </c>
      <c r="FF4" s="395">
        <f t="shared" ref="FF4:FK4" si="14">FF6+FF8+FF10+FF12+FF14</f>
        <v>7860.94</v>
      </c>
      <c r="FG4" s="395">
        <f t="shared" si="14"/>
        <v>6691.3010000000004</v>
      </c>
      <c r="FH4" s="395">
        <f t="shared" si="14"/>
        <v>7935.5649999999987</v>
      </c>
      <c r="FI4" s="395">
        <f t="shared" si="14"/>
        <v>7737.6390000000001</v>
      </c>
      <c r="FJ4" s="395">
        <f t="shared" si="14"/>
        <v>8075.4570000000003</v>
      </c>
      <c r="FK4" s="395">
        <f t="shared" si="14"/>
        <v>7839.0550000000003</v>
      </c>
      <c r="FL4" s="306">
        <f>SUM(EZ4:FK4)</f>
        <v>88333.38499999998</v>
      </c>
      <c r="FM4" s="395">
        <f t="shared" ref="FM4:FR4" si="15">FM6+FM8+FM10+FM12+FM14</f>
        <v>7144.5349999999999</v>
      </c>
      <c r="FN4" s="395">
        <f t="shared" si="15"/>
        <v>8131.6009999999997</v>
      </c>
      <c r="FO4" s="395">
        <f t="shared" si="15"/>
        <v>7972.6749999999993</v>
      </c>
      <c r="FP4" s="395">
        <f t="shared" si="15"/>
        <v>7385.4859999999999</v>
      </c>
      <c r="FQ4" s="395">
        <f t="shared" si="15"/>
        <v>6462.02</v>
      </c>
      <c r="FR4" s="395">
        <f t="shared" si="15"/>
        <v>8141.4280000000008</v>
      </c>
      <c r="FS4" s="395">
        <f t="shared" ref="FS4:FX4" si="16">FS6+FS8+FS10+FS12+FS14</f>
        <v>8211.4230000000007</v>
      </c>
      <c r="FT4" s="395">
        <f t="shared" si="16"/>
        <v>7460.1639999999989</v>
      </c>
      <c r="FU4" s="395">
        <f t="shared" si="16"/>
        <v>8722.1219999999994</v>
      </c>
      <c r="FV4" s="395">
        <f t="shared" si="16"/>
        <v>8791.8770000000004</v>
      </c>
      <c r="FW4" s="395">
        <f t="shared" si="16"/>
        <v>8725.2900000000009</v>
      </c>
      <c r="FX4" s="395">
        <f t="shared" si="16"/>
        <v>8405.5429999999997</v>
      </c>
      <c r="FY4" s="306">
        <f>SUM(FM4:FX4)</f>
        <v>95554.164000000019</v>
      </c>
      <c r="FZ4" s="395">
        <f t="shared" ref="FZ4:GE4" si="17">FZ6+FZ8+FZ10+FZ12+FZ14</f>
        <v>7373.665</v>
      </c>
      <c r="GA4" s="395">
        <f t="shared" si="17"/>
        <v>8790.4710000000014</v>
      </c>
      <c r="GB4" s="395">
        <f t="shared" si="17"/>
        <v>8651.7880000000005</v>
      </c>
      <c r="GC4" s="395">
        <f t="shared" si="17"/>
        <v>8290.4329999999991</v>
      </c>
      <c r="GD4" s="395">
        <f t="shared" si="17"/>
        <v>7573.7079999999987</v>
      </c>
      <c r="GE4" s="395">
        <f t="shared" si="17"/>
        <v>8506.42</v>
      </c>
      <c r="GF4" s="395">
        <f t="shared" ref="GF4:GK4" si="18">GF6+GF8+GF10+GF12+GF14</f>
        <v>8434.3029999999999</v>
      </c>
      <c r="GG4" s="395">
        <f t="shared" si="18"/>
        <v>6807.2860000000001</v>
      </c>
      <c r="GH4" s="395">
        <f t="shared" si="18"/>
        <v>7902.5569999999998</v>
      </c>
      <c r="GI4" s="395">
        <f t="shared" si="18"/>
        <v>8009.8070000000007</v>
      </c>
      <c r="GJ4" s="395">
        <f t="shared" si="18"/>
        <v>7442.8510000000006</v>
      </c>
      <c r="GK4" s="395">
        <f t="shared" si="18"/>
        <v>6908.799</v>
      </c>
      <c r="GL4" s="420">
        <f>SUM(FZ4:GK4)</f>
        <v>94692.087999999989</v>
      </c>
      <c r="GM4" s="395">
        <f t="shared" ref="GM4:GR4" si="19">GM6+GM8+GM10+GM12+GM14</f>
        <v>6847.3429999999998</v>
      </c>
      <c r="GN4" s="395">
        <f t="shared" si="19"/>
        <v>7964.4979999999996</v>
      </c>
      <c r="GO4" s="395">
        <f t="shared" si="19"/>
        <v>8125.5320000000002</v>
      </c>
      <c r="GP4" s="395">
        <f t="shared" si="19"/>
        <v>8323.1489999999994</v>
      </c>
      <c r="GQ4" s="395">
        <f t="shared" si="19"/>
        <v>7929.71</v>
      </c>
      <c r="GR4" s="395">
        <f t="shared" si="19"/>
        <v>8432.2270000000008</v>
      </c>
      <c r="GS4" s="395">
        <f t="shared" ref="GS4:GX4" si="20">GS6+GS8+GS10+GS12+GS14</f>
        <v>8971.130000000001</v>
      </c>
      <c r="GT4" s="395">
        <f t="shared" si="20"/>
        <v>7270.3110000000006</v>
      </c>
      <c r="GU4" s="395">
        <f t="shared" si="20"/>
        <v>8840.5290000000005</v>
      </c>
      <c r="GV4" s="395">
        <f t="shared" si="20"/>
        <v>9007.0930000000008</v>
      </c>
      <c r="GW4" s="395">
        <f t="shared" si="20"/>
        <v>8784.2010000000009</v>
      </c>
      <c r="GX4" s="395">
        <f t="shared" si="20"/>
        <v>8509.9570000000003</v>
      </c>
      <c r="GY4" s="420">
        <f>SUM(GM4:GX4)</f>
        <v>99005.68</v>
      </c>
      <c r="GZ4" s="395">
        <f t="shared" ref="GZ4:HE4" si="21">GZ6+GZ8+GZ10+GZ12+GZ14</f>
        <v>7991.6679999999997</v>
      </c>
      <c r="HA4" s="395">
        <f t="shared" si="21"/>
        <v>8762.1890000000003</v>
      </c>
      <c r="HB4" s="395">
        <f t="shared" si="21"/>
        <v>8958.003999999999</v>
      </c>
      <c r="HC4" s="395">
        <f t="shared" si="21"/>
        <v>8885.4860000000008</v>
      </c>
      <c r="HD4" s="395">
        <f t="shared" si="21"/>
        <v>8393.8550000000014</v>
      </c>
      <c r="HE4" s="395">
        <f t="shared" si="21"/>
        <v>9413.3680000000004</v>
      </c>
      <c r="HF4" s="395">
        <f t="shared" ref="HF4:HK4" si="22">HF6+HF8+HF10+HF12+HF14</f>
        <v>9511.7759999999998</v>
      </c>
      <c r="HG4" s="395">
        <f t="shared" si="22"/>
        <v>7530.7389999999996</v>
      </c>
      <c r="HH4" s="395">
        <f t="shared" si="22"/>
        <v>9641.3059999999987</v>
      </c>
      <c r="HI4" s="395">
        <f t="shared" si="22"/>
        <v>9501.2630000000008</v>
      </c>
      <c r="HJ4" s="395">
        <f t="shared" si="22"/>
        <v>8818.5779999999995</v>
      </c>
      <c r="HK4" s="395">
        <f t="shared" si="22"/>
        <v>8764.58</v>
      </c>
      <c r="HL4" s="420">
        <f>SUM(GZ4:HK4)</f>
        <v>106172.81199999999</v>
      </c>
      <c r="HM4" s="395">
        <f t="shared" ref="HM4:IK4" si="23">HM6+HM8+HM10+HM12+HM14</f>
        <v>8210.1229999999996</v>
      </c>
      <c r="HN4" s="395">
        <f t="shared" si="23"/>
        <v>8997.0630000000001</v>
      </c>
      <c r="HO4" s="422">
        <f t="shared" si="23"/>
        <v>9385.3029999999999</v>
      </c>
      <c r="HP4" s="434">
        <f t="shared" si="23"/>
        <v>9019.2829999999994</v>
      </c>
      <c r="HQ4" s="422">
        <f t="shared" si="23"/>
        <v>7825.2159999999994</v>
      </c>
      <c r="HR4" s="422">
        <f t="shared" si="23"/>
        <v>9413.8539999999994</v>
      </c>
      <c r="HS4" s="422">
        <f t="shared" si="23"/>
        <v>9217.6270000000004</v>
      </c>
      <c r="HT4" s="422">
        <f t="shared" si="23"/>
        <v>7414.5930000000008</v>
      </c>
      <c r="HU4" s="422">
        <f t="shared" si="23"/>
        <v>9118.3990000000013</v>
      </c>
      <c r="HV4" s="422">
        <f t="shared" si="23"/>
        <v>8968.9979999999996</v>
      </c>
      <c r="HW4" s="422">
        <f t="shared" si="23"/>
        <v>8955.512999999999</v>
      </c>
      <c r="HX4" s="422">
        <f t="shared" si="23"/>
        <v>8340.7109999999993</v>
      </c>
      <c r="HY4" s="473">
        <f>SUM(HM4:HX4)</f>
        <v>104866.683</v>
      </c>
      <c r="HZ4" s="467">
        <f t="shared" si="23"/>
        <v>7739870</v>
      </c>
      <c r="IA4" s="467">
        <f t="shared" si="23"/>
        <v>9061877</v>
      </c>
      <c r="IB4" s="467">
        <f t="shared" si="23"/>
        <v>9336685</v>
      </c>
      <c r="IC4" s="467">
        <f t="shared" si="23"/>
        <v>9055564</v>
      </c>
      <c r="ID4" s="467">
        <f t="shared" si="23"/>
        <v>7802650</v>
      </c>
      <c r="IE4" s="467">
        <f t="shared" si="23"/>
        <v>9318659</v>
      </c>
      <c r="IF4" s="467">
        <f t="shared" si="23"/>
        <v>9061192</v>
      </c>
      <c r="IG4" s="467">
        <f t="shared" si="23"/>
        <v>7950432</v>
      </c>
      <c r="IH4" s="467">
        <f t="shared" si="23"/>
        <v>9463526</v>
      </c>
      <c r="II4" s="467">
        <f t="shared" si="23"/>
        <v>9207669</v>
      </c>
      <c r="IJ4" s="467">
        <f t="shared" si="23"/>
        <v>9587755</v>
      </c>
      <c r="IK4" s="467">
        <f t="shared" si="23"/>
        <v>9121167</v>
      </c>
      <c r="IL4" s="468">
        <f>SUM(HZ4:IK4)</f>
        <v>106707046</v>
      </c>
      <c r="IM4" s="467">
        <f t="shared" ref="IM4:IV4" si="24">IM6+IM8+IM10+IM12+IM14</f>
        <v>8302482</v>
      </c>
      <c r="IN4" s="467">
        <f t="shared" si="24"/>
        <v>9356077</v>
      </c>
      <c r="IO4" s="467">
        <f t="shared" si="24"/>
        <v>10133418</v>
      </c>
      <c r="IP4" s="467">
        <f t="shared" si="24"/>
        <v>9504587</v>
      </c>
      <c r="IQ4" s="467">
        <f t="shared" si="24"/>
        <v>8381908</v>
      </c>
      <c r="IR4" s="467">
        <f t="shared" si="24"/>
        <v>10017690</v>
      </c>
      <c r="IS4" s="467">
        <f t="shared" si="24"/>
        <v>9957335</v>
      </c>
      <c r="IT4" s="467">
        <f t="shared" si="24"/>
        <v>8405898</v>
      </c>
      <c r="IU4" s="467">
        <f t="shared" si="24"/>
        <v>9721128</v>
      </c>
      <c r="IV4" s="467">
        <f t="shared" si="24"/>
        <v>10067085</v>
      </c>
      <c r="IW4" s="467">
        <f>IW6+IW8+IW10+IW12+IW14</f>
        <v>10304389</v>
      </c>
      <c r="IX4" s="467">
        <f t="shared" ref="IX4" si="25">IX6+IX8+IX10+IX12+IX14</f>
        <v>9757365</v>
      </c>
      <c r="IY4" s="468">
        <f>SUM(IM4:IX4)</f>
        <v>113909362</v>
      </c>
      <c r="IZ4" s="467">
        <f t="shared" ref="IZ4:JJ4" si="26">IZ6+IZ8+IZ10+IZ12+IZ14</f>
        <v>8515022</v>
      </c>
      <c r="JA4" s="467">
        <f t="shared" si="26"/>
        <v>9845715</v>
      </c>
      <c r="JB4" s="467">
        <f t="shared" si="26"/>
        <v>10433893</v>
      </c>
      <c r="JC4" s="467">
        <f t="shared" si="26"/>
        <v>10107503</v>
      </c>
      <c r="JD4" s="467">
        <f t="shared" si="26"/>
        <v>9159695</v>
      </c>
      <c r="JE4" s="467">
        <f t="shared" si="26"/>
        <v>10583052</v>
      </c>
      <c r="JF4" s="520">
        <f t="shared" si="26"/>
        <v>10493</v>
      </c>
      <c r="JG4" s="520">
        <f t="shared" si="26"/>
        <v>8742</v>
      </c>
      <c r="JH4" s="520">
        <f t="shared" si="26"/>
        <v>9952</v>
      </c>
      <c r="JI4" s="520">
        <f t="shared" si="26"/>
        <v>10861</v>
      </c>
      <c r="JJ4" s="520">
        <f t="shared" si="26"/>
        <v>10471</v>
      </c>
      <c r="JK4" s="522">
        <v>9814</v>
      </c>
      <c r="JL4" s="524">
        <v>118978</v>
      </c>
      <c r="JM4" s="522">
        <f t="shared" ref="JM4:JN4" si="27">JM6+JM8+JM10+JM12+JM14</f>
        <v>8588</v>
      </c>
      <c r="JN4" s="565">
        <f t="shared" si="27"/>
        <v>10083</v>
      </c>
    </row>
    <row r="5" spans="1:274" ht="13.5" customHeight="1" thickBot="1" x14ac:dyDescent="0.35">
      <c r="A5" s="552"/>
      <c r="B5" s="71" t="s">
        <v>102</v>
      </c>
      <c r="C5" s="67"/>
      <c r="D5" s="60">
        <f t="shared" ref="D5:N5" si="28">(D4/C4-1)*100</f>
        <v>8.3710814999939931</v>
      </c>
      <c r="E5" s="60">
        <f t="shared" si="28"/>
        <v>-0.17961283455661947</v>
      </c>
      <c r="F5" s="60">
        <f t="shared" si="28"/>
        <v>-11.828016705171496</v>
      </c>
      <c r="G5" s="60">
        <f t="shared" si="28"/>
        <v>-6.304876358918154</v>
      </c>
      <c r="H5" s="60">
        <f t="shared" si="28"/>
        <v>-1.2933932076689358</v>
      </c>
      <c r="I5" s="60">
        <f t="shared" si="28"/>
        <v>5.32717663724529</v>
      </c>
      <c r="J5" s="60">
        <f t="shared" si="28"/>
        <v>0.30519740840844189</v>
      </c>
      <c r="K5" s="60">
        <f t="shared" si="28"/>
        <v>4.2571844822918203</v>
      </c>
      <c r="L5" s="60">
        <f t="shared" si="28"/>
        <v>-15.028751623075499</v>
      </c>
      <c r="M5" s="60">
        <f t="shared" si="28"/>
        <v>-2.6487367563162167</v>
      </c>
      <c r="N5" s="60">
        <f t="shared" si="28"/>
        <v>9.1550559110207494</v>
      </c>
      <c r="O5" s="61"/>
      <c r="P5" s="62"/>
      <c r="Q5" s="62"/>
      <c r="R5" s="62"/>
      <c r="S5" s="62"/>
      <c r="T5" s="62"/>
      <c r="U5" s="62"/>
      <c r="V5" s="62"/>
      <c r="W5" s="62"/>
      <c r="X5" s="62"/>
      <c r="Y5" s="62"/>
      <c r="Z5" s="63"/>
      <c r="AA5" s="60">
        <f>(AA4/O4-1)*100</f>
        <v>8.7644552647595972</v>
      </c>
      <c r="AB5" s="60">
        <f t="shared" ref="AB5:AL5" si="29">(AB4/P4-1)*100</f>
        <v>8.5531004989308546</v>
      </c>
      <c r="AC5" s="60">
        <f t="shared" si="29"/>
        <v>8.2145850796311759</v>
      </c>
      <c r="AD5" s="60">
        <f t="shared" si="29"/>
        <v>10.424990918997468</v>
      </c>
      <c r="AE5" s="60">
        <f t="shared" si="29"/>
        <v>12.378109452736318</v>
      </c>
      <c r="AF5" s="60">
        <f t="shared" si="29"/>
        <v>13.649956024626221</v>
      </c>
      <c r="AG5" s="60">
        <f t="shared" si="29"/>
        <v>8.3986757274786541</v>
      </c>
      <c r="AH5" s="60">
        <f t="shared" si="29"/>
        <v>10.877551020408172</v>
      </c>
      <c r="AI5" s="60">
        <f t="shared" si="29"/>
        <v>7.8133102852203873</v>
      </c>
      <c r="AJ5" s="60">
        <f t="shared" si="29"/>
        <v>10.360745426568641</v>
      </c>
      <c r="AK5" s="60">
        <f t="shared" si="29"/>
        <v>5.2962595167163284</v>
      </c>
      <c r="AL5" s="84">
        <f t="shared" si="29"/>
        <v>6.0973526900085506</v>
      </c>
      <c r="AM5" s="60">
        <f>(AM4/N4-1)*100</f>
        <v>-5.3097951133998063</v>
      </c>
      <c r="AN5" s="121">
        <f t="shared" ref="AN5:BL5" si="30">(AN4/AA4-1)*100</f>
        <v>2.2570415967170243</v>
      </c>
      <c r="AO5" s="60">
        <f t="shared" si="30"/>
        <v>2.1996060407091234</v>
      </c>
      <c r="AP5" s="84">
        <f t="shared" si="30"/>
        <v>-0.55770720371804972</v>
      </c>
      <c r="AQ5" s="60">
        <f t="shared" si="30"/>
        <v>-9.8684210526311933E-2</v>
      </c>
      <c r="AR5" s="60">
        <f t="shared" si="30"/>
        <v>-5.0646360899592739</v>
      </c>
      <c r="AS5" s="82">
        <f t="shared" si="30"/>
        <v>-8.3733168240210496</v>
      </c>
      <c r="AT5" s="60">
        <f t="shared" si="30"/>
        <v>-6.0761935380163941</v>
      </c>
      <c r="AU5" s="82">
        <f t="shared" si="30"/>
        <v>-5.0432541873734582</v>
      </c>
      <c r="AV5" s="60">
        <f t="shared" si="30"/>
        <v>-8.4175084175084116</v>
      </c>
      <c r="AW5" s="82">
        <f t="shared" si="30"/>
        <v>-8.7683965917893065</v>
      </c>
      <c r="AX5" s="60">
        <f t="shared" si="30"/>
        <v>-10.546997799434143</v>
      </c>
      <c r="AY5" s="83">
        <f t="shared" si="30"/>
        <v>-13.667095943335482</v>
      </c>
      <c r="AZ5" s="127">
        <f t="shared" si="30"/>
        <v>1.6560841203951515</v>
      </c>
      <c r="BA5" s="124">
        <f t="shared" si="30"/>
        <v>-10.124042320321047</v>
      </c>
      <c r="BB5" s="32">
        <f t="shared" si="30"/>
        <v>-9.0587857372309681</v>
      </c>
      <c r="BC5" s="32">
        <f t="shared" si="30"/>
        <v>-10.157345380900452</v>
      </c>
      <c r="BD5" s="32">
        <f t="shared" si="30"/>
        <v>-6.3220283174185044</v>
      </c>
      <c r="BE5" s="32">
        <f t="shared" si="30"/>
        <v>2.1078157060249847</v>
      </c>
      <c r="BF5" s="32">
        <f t="shared" si="30"/>
        <v>0.16891891891892552</v>
      </c>
      <c r="BG5" s="32">
        <f t="shared" si="30"/>
        <v>7.7870956700325067</v>
      </c>
      <c r="BH5" s="32">
        <f t="shared" si="30"/>
        <v>1.3762357045939089</v>
      </c>
      <c r="BI5" s="32">
        <f t="shared" si="30"/>
        <v>9.8214285714285801</v>
      </c>
      <c r="BJ5" s="32">
        <f t="shared" si="30"/>
        <v>9.3224656138563446</v>
      </c>
      <c r="BK5" s="32">
        <f t="shared" si="30"/>
        <v>11.913547706905646</v>
      </c>
      <c r="BL5" s="32">
        <f t="shared" si="30"/>
        <v>16.091739697930251</v>
      </c>
      <c r="BM5" s="32">
        <f t="shared" ref="BM5:BX5" si="31">(BM4/BA4-1)*100</f>
        <v>17.678100263852237</v>
      </c>
      <c r="BN5" s="32">
        <f t="shared" si="31"/>
        <v>13.210879547862952</v>
      </c>
      <c r="BO5" s="32">
        <f t="shared" si="31"/>
        <v>13.490549679209284</v>
      </c>
      <c r="BP5" s="32">
        <f t="shared" si="31"/>
        <v>10.123022847100183</v>
      </c>
      <c r="BQ5" s="32">
        <f t="shared" si="31"/>
        <v>10.467665327000365</v>
      </c>
      <c r="BR5" s="32">
        <f t="shared" si="31"/>
        <v>16.947723440134908</v>
      </c>
      <c r="BS5" s="32">
        <f t="shared" si="31"/>
        <v>10.622419815814554</v>
      </c>
      <c r="BT5" s="32">
        <f t="shared" si="31"/>
        <v>11.16634799235181</v>
      </c>
      <c r="BU5" s="32">
        <f t="shared" si="31"/>
        <v>13.741431531962389</v>
      </c>
      <c r="BV5" s="32">
        <f t="shared" si="31"/>
        <v>14.041627834731285</v>
      </c>
      <c r="BW5" s="32">
        <f t="shared" si="31"/>
        <v>10.189982728842839</v>
      </c>
      <c r="BX5" s="32">
        <f t="shared" si="31"/>
        <v>14.343077417282357</v>
      </c>
      <c r="BY5" s="127">
        <f>(BY4/AZ4-1)*100</f>
        <v>12.964543850663034</v>
      </c>
      <c r="BZ5" s="32">
        <f t="shared" ref="BZ5:CK5" si="32">(BZ4/BM4-1)*100</f>
        <v>13.79786133149361</v>
      </c>
      <c r="CA5" s="32">
        <f t="shared" si="32"/>
        <v>15.226209048361937</v>
      </c>
      <c r="CB5" s="32">
        <f t="shared" si="32"/>
        <v>20.962566844919795</v>
      </c>
      <c r="CC5" s="32">
        <f t="shared" si="32"/>
        <v>20.906479412703472</v>
      </c>
      <c r="CD5" s="32">
        <f t="shared" si="32"/>
        <v>12.584752769968578</v>
      </c>
      <c r="CE5" s="89">
        <f t="shared" si="32"/>
        <v>13.121845710165836</v>
      </c>
      <c r="CF5" s="89">
        <f t="shared" si="32"/>
        <v>11.726711640591358</v>
      </c>
      <c r="CG5" s="89">
        <f t="shared" si="32"/>
        <v>16.87306501547987</v>
      </c>
      <c r="CH5" s="89">
        <f t="shared" si="32"/>
        <v>11.590749824807279</v>
      </c>
      <c r="CI5" s="89">
        <f t="shared" si="32"/>
        <v>7.2051212203759096</v>
      </c>
      <c r="CJ5" s="258">
        <f t="shared" si="32"/>
        <v>15.683000854944428</v>
      </c>
      <c r="CK5" s="368">
        <f t="shared" si="32"/>
        <v>10.422812192723697</v>
      </c>
      <c r="CL5" s="83">
        <f t="shared" ref="CL5:EL5" si="33">(CL4/BY4-1)*100</f>
        <v>14.012838178245769</v>
      </c>
      <c r="CM5" s="299">
        <f t="shared" si="33"/>
        <v>7.229463473779929</v>
      </c>
      <c r="CN5" s="300">
        <f t="shared" si="33"/>
        <v>7.4059030598429443</v>
      </c>
      <c r="CO5" s="300">
        <f t="shared" si="33"/>
        <v>8.3617531893394048</v>
      </c>
      <c r="CP5" s="377">
        <f t="shared" si="33"/>
        <v>8.8569165786694946</v>
      </c>
      <c r="CQ5" s="377">
        <f t="shared" si="33"/>
        <v>8.2843713278495823</v>
      </c>
      <c r="CR5" s="377">
        <f t="shared" si="33"/>
        <v>7.9413639260675684</v>
      </c>
      <c r="CS5" s="377">
        <f t="shared" si="33"/>
        <v>5.9224049331962902</v>
      </c>
      <c r="CT5" s="377">
        <f t="shared" si="33"/>
        <v>7.5496688741721885</v>
      </c>
      <c r="CU5" s="377">
        <f t="shared" si="33"/>
        <v>7.9251444360713297</v>
      </c>
      <c r="CV5" s="377">
        <f t="shared" si="33"/>
        <v>8.4741455977639379</v>
      </c>
      <c r="CW5" s="377">
        <f t="shared" si="33"/>
        <v>6.3972222909940646</v>
      </c>
      <c r="CX5" s="373">
        <f t="shared" si="33"/>
        <v>6.6149344867065363</v>
      </c>
      <c r="CY5" s="83">
        <f t="shared" si="33"/>
        <v>7.5731808771059228</v>
      </c>
      <c r="CZ5" s="377">
        <f t="shared" si="33"/>
        <v>7.3074204946996568</v>
      </c>
      <c r="DA5" s="377">
        <f t="shared" si="33"/>
        <v>7.82806000252112</v>
      </c>
      <c r="DB5" s="377">
        <f t="shared" si="33"/>
        <v>6.667443758013758</v>
      </c>
      <c r="DC5" s="377">
        <f t="shared" si="33"/>
        <v>6.4144537407542224</v>
      </c>
      <c r="DD5" s="377">
        <f t="shared" si="33"/>
        <v>4.6256104177970769</v>
      </c>
      <c r="DE5" s="377">
        <f t="shared" si="33"/>
        <v>5.6211620217288649</v>
      </c>
      <c r="DF5" s="377">
        <f t="shared" si="33"/>
        <v>5.797453001819286</v>
      </c>
      <c r="DG5" s="377">
        <f t="shared" si="33"/>
        <v>5.7334428024083284</v>
      </c>
      <c r="DH5" s="377">
        <f t="shared" si="33"/>
        <v>3.7355987431630489</v>
      </c>
      <c r="DI5" s="377">
        <f t="shared" si="33"/>
        <v>7.6481611618645973</v>
      </c>
      <c r="DJ5" s="377">
        <f t="shared" si="33"/>
        <v>5.8578374623755591</v>
      </c>
      <c r="DK5" s="377">
        <f t="shared" si="33"/>
        <v>5.130652666746216</v>
      </c>
      <c r="DL5" s="83">
        <f t="shared" si="33"/>
        <v>6.0209289667991328</v>
      </c>
      <c r="DM5" s="377">
        <f t="shared" si="33"/>
        <v>4.3071654373024293</v>
      </c>
      <c r="DN5" s="377">
        <f t="shared" si="33"/>
        <v>4.9450549450549497</v>
      </c>
      <c r="DO5" s="377">
        <f t="shared" si="33"/>
        <v>3.256474702218326</v>
      </c>
      <c r="DP5" s="377">
        <f t="shared" si="33"/>
        <v>4.0451230628988144</v>
      </c>
      <c r="DQ5" s="377">
        <f t="shared" si="33"/>
        <v>9.1533774147543046</v>
      </c>
      <c r="DR5" s="377">
        <f t="shared" si="33"/>
        <v>4.9754025044722816</v>
      </c>
      <c r="DS5" s="377">
        <f t="shared" si="33"/>
        <v>7.543276395735421</v>
      </c>
      <c r="DT5" s="377">
        <f t="shared" si="33"/>
        <v>3.7271903714248822</v>
      </c>
      <c r="DU5" s="377">
        <f t="shared" si="33"/>
        <v>4.016154363921931</v>
      </c>
      <c r="DV5" s="377">
        <f t="shared" si="33"/>
        <v>7.8663910347078758</v>
      </c>
      <c r="DW5" s="377">
        <f t="shared" si="33"/>
        <v>7.5459317585301777</v>
      </c>
      <c r="DX5" s="300">
        <f t="shared" si="33"/>
        <v>5.1186017478152213</v>
      </c>
      <c r="DY5" s="394">
        <f t="shared" si="33"/>
        <v>5.5424254165052256</v>
      </c>
      <c r="DZ5" s="396">
        <f t="shared" si="33"/>
        <v>4.5839121101149072</v>
      </c>
      <c r="EA5" s="396">
        <f t="shared" si="33"/>
        <v>9.4129441907095934</v>
      </c>
      <c r="EB5" s="396">
        <f t="shared" si="33"/>
        <v>5.0799026351994847</v>
      </c>
      <c r="EC5" s="396">
        <f t="shared" si="33"/>
        <v>5.1911072171722639</v>
      </c>
      <c r="ED5" s="396">
        <f t="shared" si="33"/>
        <v>5.7251455042166555</v>
      </c>
      <c r="EE5" s="396">
        <f t="shared" si="33"/>
        <v>5.7088081797848522</v>
      </c>
      <c r="EF5" s="396">
        <f t="shared" si="33"/>
        <v>6.6517428845538795</v>
      </c>
      <c r="EG5" s="396">
        <f t="shared" si="33"/>
        <v>-1.0230817217716792</v>
      </c>
      <c r="EH5" s="396">
        <f t="shared" si="33"/>
        <v>5.1229508196721341</v>
      </c>
      <c r="EI5" s="396">
        <f t="shared" si="33"/>
        <v>-3.9035707080895654</v>
      </c>
      <c r="EJ5" s="396">
        <f t="shared" si="33"/>
        <v>-15.405735204392922</v>
      </c>
      <c r="EK5" s="396">
        <f t="shared" si="33"/>
        <v>-25.858345929604841</v>
      </c>
      <c r="EL5" s="394">
        <f t="shared" si="33"/>
        <v>-9.177511426001761E-2</v>
      </c>
      <c r="EM5" s="396">
        <f t="shared" ref="EM5:EX5" si="34">(EM4/DZ4-1)*100</f>
        <v>-40.557836271432024</v>
      </c>
      <c r="EN5" s="396">
        <f t="shared" si="34"/>
        <v>-53.634697617593162</v>
      </c>
      <c r="EO5" s="396">
        <f t="shared" si="34"/>
        <v>-55.282505791116932</v>
      </c>
      <c r="EP5" s="396">
        <f t="shared" si="34"/>
        <v>-52.414398750650705</v>
      </c>
      <c r="EQ5" s="396">
        <f t="shared" si="34"/>
        <v>-51.692135715088192</v>
      </c>
      <c r="ER5" s="396">
        <f t="shared" si="34"/>
        <v>-45.818528967254416</v>
      </c>
      <c r="ES5" s="396">
        <f t="shared" si="34"/>
        <v>-43.507416291854071</v>
      </c>
      <c r="ET5" s="396">
        <f t="shared" si="34"/>
        <v>-39.118013361905959</v>
      </c>
      <c r="EU5" s="396">
        <f t="shared" si="34"/>
        <v>-37.644762491022888</v>
      </c>
      <c r="EV5" s="396">
        <f t="shared" si="34"/>
        <v>-33.058643854308798</v>
      </c>
      <c r="EW5" s="396">
        <f t="shared" si="34"/>
        <v>-21.10173097728093</v>
      </c>
      <c r="EX5" s="396">
        <f t="shared" si="34"/>
        <v>-6.7650356778797054</v>
      </c>
      <c r="EY5" s="394">
        <f t="shared" ref="EY5:FX5" si="35">(EY4/EL4-1)*100</f>
        <v>-41.147414157373554</v>
      </c>
      <c r="EZ5" s="396">
        <f t="shared" si="35"/>
        <v>23.111375177737159</v>
      </c>
      <c r="FA5" s="396">
        <f t="shared" si="35"/>
        <v>53.888032498902085</v>
      </c>
      <c r="FB5" s="396">
        <f t="shared" si="35"/>
        <v>69.503175675675692</v>
      </c>
      <c r="FC5" s="396">
        <f t="shared" si="35"/>
        <v>56.932300091213442</v>
      </c>
      <c r="FD5" s="396">
        <f t="shared" si="35"/>
        <v>52.328633127924661</v>
      </c>
      <c r="FE5" s="396">
        <f t="shared" si="35"/>
        <v>46.461011423314623</v>
      </c>
      <c r="FF5" s="396">
        <f t="shared" si="35"/>
        <v>39.080406285611843</v>
      </c>
      <c r="FG5" s="396">
        <f t="shared" si="35"/>
        <v>38.542907236952175</v>
      </c>
      <c r="FH5" s="396">
        <f t="shared" si="35"/>
        <v>30.567157499508447</v>
      </c>
      <c r="FI5" s="396">
        <f t="shared" si="35"/>
        <v>21.327093064479929</v>
      </c>
      <c r="FJ5" s="396">
        <f t="shared" si="35"/>
        <v>23.034953509131583</v>
      </c>
      <c r="FK5" s="396">
        <f t="shared" si="35"/>
        <v>22.438459057438198</v>
      </c>
      <c r="FL5" s="394">
        <f t="shared" si="35"/>
        <v>37.874202984817607</v>
      </c>
      <c r="FM5" s="396">
        <f t="shared" si="35"/>
        <v>17.881580451866451</v>
      </c>
      <c r="FN5" s="396">
        <f t="shared" si="35"/>
        <v>16.03210930955079</v>
      </c>
      <c r="FO5" s="396">
        <f t="shared" si="35"/>
        <v>5.9359221657464323</v>
      </c>
      <c r="FP5" s="396">
        <f t="shared" si="35"/>
        <v>2.9659922291932261</v>
      </c>
      <c r="FQ5" s="396">
        <f t="shared" si="35"/>
        <v>-1.3424981828113913</v>
      </c>
      <c r="FR5" s="396">
        <f t="shared" si="35"/>
        <v>3.3706507031463051</v>
      </c>
      <c r="FS5" s="396">
        <f t="shared" si="35"/>
        <v>4.4585380374357442</v>
      </c>
      <c r="FT5" s="396">
        <f t="shared" si="35"/>
        <v>11.490485930912374</v>
      </c>
      <c r="FU5" s="396">
        <f t="shared" si="35"/>
        <v>9.9117958204614443</v>
      </c>
      <c r="FV5" s="396">
        <f t="shared" si="35"/>
        <v>13.62480208756185</v>
      </c>
      <c r="FW5" s="396">
        <f t="shared" si="35"/>
        <v>8.0470120762205823</v>
      </c>
      <c r="FX5" s="396">
        <f t="shared" si="35"/>
        <v>7.2264832942235957</v>
      </c>
      <c r="FY5" s="394">
        <f t="shared" ref="FY5:GH5" si="36">(FY4/FL4-1)*100</f>
        <v>8.1744620111637865</v>
      </c>
      <c r="FZ5" s="396">
        <f t="shared" si="36"/>
        <v>3.2070666600415576</v>
      </c>
      <c r="GA5" s="396">
        <f t="shared" si="36"/>
        <v>8.1025864402348482</v>
      </c>
      <c r="GB5" s="396">
        <f t="shared" si="36"/>
        <v>8.5180068170344505</v>
      </c>
      <c r="GC5" s="396">
        <f t="shared" si="36"/>
        <v>12.253046041926009</v>
      </c>
      <c r="GD5" s="396">
        <f t="shared" si="36"/>
        <v>17.203413174208659</v>
      </c>
      <c r="GE5" s="396">
        <f t="shared" si="36"/>
        <v>4.4831447259620738</v>
      </c>
      <c r="GF5" s="396">
        <f t="shared" si="36"/>
        <v>2.7142676732156978</v>
      </c>
      <c r="GG5" s="396">
        <f t="shared" si="36"/>
        <v>-8.7515234249541773</v>
      </c>
      <c r="GH5" s="396">
        <f t="shared" si="36"/>
        <v>-9.3963945929671606</v>
      </c>
      <c r="GI5" s="396">
        <f>(GI4/FU4-1)*100</f>
        <v>-8.166762629552748</v>
      </c>
      <c r="GJ5" s="396">
        <f>(GJ4/FV4-1)*100</f>
        <v>-15.34400447140013</v>
      </c>
      <c r="GK5" s="396">
        <f>(GK4/FW4-1)*100</f>
        <v>-20.818689120934675</v>
      </c>
      <c r="GL5" s="419">
        <f t="shared" ref="GL5:HY5" si="37">(GL4/FY4-1)*100</f>
        <v>-0.9021856964810393</v>
      </c>
      <c r="GM5" s="418">
        <f t="shared" si="37"/>
        <v>-7.1378615654494766</v>
      </c>
      <c r="GN5" s="418">
        <f t="shared" si="37"/>
        <v>-9.3962314419784967</v>
      </c>
      <c r="GO5" s="418">
        <f t="shared" si="37"/>
        <v>-6.0826270824019257</v>
      </c>
      <c r="GP5" s="418">
        <f t="shared" si="37"/>
        <v>0.39462353775732151</v>
      </c>
      <c r="GQ5" s="418">
        <f t="shared" si="37"/>
        <v>4.7004980915557049</v>
      </c>
      <c r="GR5" s="418">
        <f t="shared" si="37"/>
        <v>-0.87220005595772809</v>
      </c>
      <c r="GS5" s="418">
        <f t="shared" si="37"/>
        <v>6.3648057225357046</v>
      </c>
      <c r="GT5" s="418">
        <f t="shared" si="37"/>
        <v>6.8019031373149463</v>
      </c>
      <c r="GU5" s="418">
        <f t="shared" si="37"/>
        <v>11.869221569676757</v>
      </c>
      <c r="GV5" s="418">
        <f t="shared" si="37"/>
        <v>12.450811861009893</v>
      </c>
      <c r="GW5" s="418">
        <f t="shared" si="37"/>
        <v>18.021991841567164</v>
      </c>
      <c r="GX5" s="418">
        <f t="shared" si="37"/>
        <v>23.175634433712734</v>
      </c>
      <c r="GY5" s="419">
        <f t="shared" si="37"/>
        <v>4.5553879855305457</v>
      </c>
      <c r="GZ5" s="418">
        <f t="shared" si="37"/>
        <v>16.711956740008493</v>
      </c>
      <c r="HA5" s="418">
        <f t="shared" si="37"/>
        <v>10.015584158599843</v>
      </c>
      <c r="HB5" s="418">
        <f t="shared" si="37"/>
        <v>10.245138410629595</v>
      </c>
      <c r="HC5" s="418">
        <f t="shared" si="37"/>
        <v>6.7563010105910815</v>
      </c>
      <c r="HD5" s="418">
        <f t="shared" si="37"/>
        <v>5.8532405346475747</v>
      </c>
      <c r="HE5" s="418">
        <f t="shared" si="37"/>
        <v>11.635609430343852</v>
      </c>
      <c r="HF5" s="418">
        <f t="shared" si="37"/>
        <v>6.0265094809683895</v>
      </c>
      <c r="HG5" s="418">
        <f t="shared" si="37"/>
        <v>3.5820750996759188</v>
      </c>
      <c r="HH5" s="418">
        <f t="shared" si="37"/>
        <v>9.0580213016664182</v>
      </c>
      <c r="HI5" s="418">
        <f t="shared" si="37"/>
        <v>5.4864538425438703</v>
      </c>
      <c r="HJ5" s="418">
        <f t="shared" si="37"/>
        <v>0.39135033453809864</v>
      </c>
      <c r="HK5" s="418">
        <f t="shared" si="37"/>
        <v>2.9920597718648745</v>
      </c>
      <c r="HL5" s="419">
        <f t="shared" si="37"/>
        <v>7.2391119378201418</v>
      </c>
      <c r="HM5" s="418">
        <f t="shared" si="37"/>
        <v>2.733534476156918</v>
      </c>
      <c r="HN5" s="418">
        <f t="shared" si="37"/>
        <v>2.6805402166056869</v>
      </c>
      <c r="HO5" s="423">
        <f t="shared" si="37"/>
        <v>4.7700246617438546</v>
      </c>
      <c r="HP5" s="435">
        <f t="shared" si="37"/>
        <v>1.5057927050923015</v>
      </c>
      <c r="HQ5" s="423">
        <f t="shared" si="37"/>
        <v>-6.7744677505151341</v>
      </c>
      <c r="HR5" s="423">
        <f t="shared" si="37"/>
        <v>5.1628705050044132E-3</v>
      </c>
      <c r="HS5" s="423">
        <f t="shared" si="37"/>
        <v>-3.0924719000952061</v>
      </c>
      <c r="HT5" s="423">
        <f t="shared" si="37"/>
        <v>-1.5422921973527237</v>
      </c>
      <c r="HU5" s="423">
        <f t="shared" si="37"/>
        <v>-5.4236116974193944</v>
      </c>
      <c r="HV5" s="423">
        <f t="shared" si="37"/>
        <v>-5.6020446965840298</v>
      </c>
      <c r="HW5" s="423">
        <f t="shared" si="37"/>
        <v>1.5528013700167875</v>
      </c>
      <c r="HX5" s="423">
        <f t="shared" si="37"/>
        <v>-4.8361587206688821</v>
      </c>
      <c r="HY5" s="474">
        <f t="shared" si="37"/>
        <v>-1.2301915861473001</v>
      </c>
      <c r="HZ5" s="423">
        <f>(7740/8210-1)*100</f>
        <v>-5.7247259439707658</v>
      </c>
      <c r="IA5" s="423">
        <f>(9062/8997-1)*100</f>
        <v>0.72246304323664301</v>
      </c>
      <c r="IB5" s="423">
        <f>(9337/9385-1)*100</f>
        <v>-0.51145444858817779</v>
      </c>
      <c r="IC5" s="423">
        <f>(9056/9019-1)*100</f>
        <v>0.41024503825257685</v>
      </c>
      <c r="ID5" s="423">
        <f>(7803/7825-1)*100</f>
        <v>-0.28115015974441437</v>
      </c>
      <c r="IE5" s="423">
        <f>(9319/9414-1)*100</f>
        <v>-1.0091353303590345</v>
      </c>
      <c r="IF5" s="423">
        <f>(9061/9218-1)*100</f>
        <v>-1.7031894120199564</v>
      </c>
      <c r="IG5" s="423">
        <f>(7950/7415-1)*100</f>
        <v>7.2151045178691753</v>
      </c>
      <c r="IH5" s="423">
        <f>(9464/9118-1)*100</f>
        <v>3.794691818381235</v>
      </c>
      <c r="II5" s="423">
        <f>(9208/8969-1)*100</f>
        <v>2.6647340840673328</v>
      </c>
      <c r="IJ5" s="423">
        <f>(9588/8956-1)*100</f>
        <v>7.0567217507816027</v>
      </c>
      <c r="IK5" s="423">
        <f>(9121/8341-1)*100</f>
        <v>9.3513967150221866</v>
      </c>
      <c r="IL5" s="474">
        <f>(106707/104867-1)*100</f>
        <v>1.7546034500844021</v>
      </c>
      <c r="IM5" s="423">
        <f>(IM4/HZ4-1)*100</f>
        <v>7.2690109782205692</v>
      </c>
      <c r="IN5" s="504">
        <f t="shared" ref="IN5:IX5" si="38">(IN4/IA4-1)*100</f>
        <v>3.246568012344464</v>
      </c>
      <c r="IO5" s="504">
        <f t="shared" si="38"/>
        <v>8.5333606092526502</v>
      </c>
      <c r="IP5" s="504">
        <f t="shared" si="38"/>
        <v>4.9585315724122836</v>
      </c>
      <c r="IQ5" s="504">
        <f t="shared" si="38"/>
        <v>7.4238624057211267</v>
      </c>
      <c r="IR5" s="504">
        <f t="shared" si="38"/>
        <v>7.5014119520845135</v>
      </c>
      <c r="IS5" s="504">
        <f t="shared" si="38"/>
        <v>9.8899019025311397</v>
      </c>
      <c r="IT5" s="504">
        <f t="shared" si="38"/>
        <v>5.7288207735126884</v>
      </c>
      <c r="IU5" s="504">
        <f t="shared" si="38"/>
        <v>2.7220509564828133</v>
      </c>
      <c r="IV5" s="504">
        <f t="shared" si="38"/>
        <v>9.3336978121172578</v>
      </c>
      <c r="IW5" s="504">
        <f t="shared" si="38"/>
        <v>7.4744713439173216</v>
      </c>
      <c r="IX5" s="504">
        <f t="shared" si="38"/>
        <v>6.9749627432542427</v>
      </c>
      <c r="IY5" s="474">
        <f>(IY4/IL4-1)*100</f>
        <v>6.7496161406248589</v>
      </c>
      <c r="IZ5" s="504">
        <f>(IZ4/IM4-1)*100</f>
        <v>2.5599573717835167</v>
      </c>
      <c r="JA5" s="504">
        <f t="shared" ref="JA5:JE5" si="39">(JA4/IN4-1)*100</f>
        <v>5.2333686437167959</v>
      </c>
      <c r="JB5" s="504">
        <f t="shared" si="39"/>
        <v>2.965189040854721</v>
      </c>
      <c r="JC5" s="504">
        <f t="shared" si="39"/>
        <v>6.3434213396121208</v>
      </c>
      <c r="JD5" s="504">
        <f t="shared" si="39"/>
        <v>9.2793550108161593</v>
      </c>
      <c r="JE5" s="504">
        <f t="shared" si="39"/>
        <v>5.6436364071956735</v>
      </c>
      <c r="JF5" s="504">
        <f>(JF4/9957-1)*100</f>
        <v>5.3831475343979029</v>
      </c>
      <c r="JG5" s="504">
        <f>(JG4/8406-1)*100</f>
        <v>3.9971448965024914</v>
      </c>
      <c r="JH5" s="504">
        <f>(JH4/9721-1)*100</f>
        <v>2.376298734698068</v>
      </c>
      <c r="JI5" s="504">
        <f>(JI4/10067-1)*100</f>
        <v>7.8871560544352848</v>
      </c>
      <c r="JJ5" s="504">
        <f>(JJ4/10304-1)*100</f>
        <v>1.6207298136645898</v>
      </c>
      <c r="JK5" s="504">
        <f>(JK4/9757-1)*100</f>
        <v>0.58419596187353484</v>
      </c>
      <c r="JL5" s="513">
        <f>(JL4/113909-1)*100</f>
        <v>4.4500434557409818</v>
      </c>
      <c r="JM5" s="504">
        <f>(JM4/8515-1)*100</f>
        <v>0.85731062830298743</v>
      </c>
      <c r="JN5" s="567">
        <f>(JN4/9846-1)*100</f>
        <v>2.4070688604509449</v>
      </c>
    </row>
    <row r="6" spans="1:274" ht="13.5" customHeight="1" x14ac:dyDescent="0.3">
      <c r="A6" s="549" t="s">
        <v>130</v>
      </c>
      <c r="B6" s="69" t="s">
        <v>103</v>
      </c>
      <c r="C6" s="59">
        <v>28096</v>
      </c>
      <c r="D6" s="25">
        <v>29607</v>
      </c>
      <c r="E6" s="26">
        <v>29778</v>
      </c>
      <c r="F6" s="25">
        <v>25460</v>
      </c>
      <c r="G6" s="26">
        <v>24649</v>
      </c>
      <c r="H6" s="25">
        <v>23857</v>
      </c>
      <c r="I6" s="26">
        <v>25955</v>
      </c>
      <c r="J6" s="25">
        <v>25930</v>
      </c>
      <c r="K6" s="26">
        <v>26193</v>
      </c>
      <c r="L6" s="25">
        <v>21950</v>
      </c>
      <c r="M6" s="128">
        <v>21072</v>
      </c>
      <c r="N6" s="49">
        <f>SUM(AA6:AL6)</f>
        <v>23126</v>
      </c>
      <c r="O6" s="26">
        <v>1543</v>
      </c>
      <c r="P6" s="25">
        <v>1803</v>
      </c>
      <c r="Q6" s="25">
        <v>1851</v>
      </c>
      <c r="R6" s="25">
        <v>1737</v>
      </c>
      <c r="S6" s="25">
        <v>1599</v>
      </c>
      <c r="T6" s="25">
        <v>1767</v>
      </c>
      <c r="U6" s="25">
        <v>1800</v>
      </c>
      <c r="V6" s="25">
        <v>1571</v>
      </c>
      <c r="W6" s="25">
        <v>1829</v>
      </c>
      <c r="X6" s="25">
        <v>1867</v>
      </c>
      <c r="Y6" s="25">
        <v>1877</v>
      </c>
      <c r="Z6" s="25">
        <v>1828</v>
      </c>
      <c r="AA6" s="26">
        <v>1683</v>
      </c>
      <c r="AB6" s="26">
        <v>1894</v>
      </c>
      <c r="AC6" s="26">
        <v>2014</v>
      </c>
      <c r="AD6" s="26">
        <v>1941</v>
      </c>
      <c r="AE6" s="26">
        <v>1804</v>
      </c>
      <c r="AF6" s="26">
        <v>2036</v>
      </c>
      <c r="AG6" s="26">
        <v>1990</v>
      </c>
      <c r="AH6" s="26">
        <v>1749</v>
      </c>
      <c r="AI6" s="26">
        <v>2009</v>
      </c>
      <c r="AJ6" s="26">
        <v>2050</v>
      </c>
      <c r="AK6" s="26">
        <v>1936</v>
      </c>
      <c r="AL6" s="90">
        <v>2020</v>
      </c>
      <c r="AM6" s="14">
        <f>SUM(AN6:AY6)</f>
        <v>22226</v>
      </c>
      <c r="AN6" s="119">
        <v>1791</v>
      </c>
      <c r="AO6" s="26">
        <v>1990</v>
      </c>
      <c r="AP6" s="90">
        <v>2073</v>
      </c>
      <c r="AQ6" s="29">
        <v>1977</v>
      </c>
      <c r="AR6" s="29">
        <v>1729</v>
      </c>
      <c r="AS6" s="28">
        <v>1917</v>
      </c>
      <c r="AT6" s="29">
        <v>1850</v>
      </c>
      <c r="AU6" s="28">
        <v>1680</v>
      </c>
      <c r="AV6" s="29">
        <v>1819</v>
      </c>
      <c r="AW6" s="28">
        <v>1854</v>
      </c>
      <c r="AX6" s="29">
        <v>1812</v>
      </c>
      <c r="AY6" s="100">
        <v>1734</v>
      </c>
      <c r="AZ6" s="110">
        <f>SUM(BA6:BL6)</f>
        <v>22120</v>
      </c>
      <c r="BA6" s="59">
        <v>1512</v>
      </c>
      <c r="BB6" s="26">
        <v>1761</v>
      </c>
      <c r="BC6" s="26">
        <v>1798</v>
      </c>
      <c r="BD6" s="26">
        <v>1795</v>
      </c>
      <c r="BE6" s="26">
        <v>1760</v>
      </c>
      <c r="BF6" s="26">
        <v>1898</v>
      </c>
      <c r="BG6" s="26">
        <v>2000</v>
      </c>
      <c r="BH6" s="26">
        <v>1655</v>
      </c>
      <c r="BI6" s="26">
        <v>1932</v>
      </c>
      <c r="BJ6" s="26">
        <v>2011</v>
      </c>
      <c r="BK6" s="26">
        <v>2013</v>
      </c>
      <c r="BL6" s="26">
        <v>1985</v>
      </c>
      <c r="BM6" s="26">
        <v>1819</v>
      </c>
      <c r="BN6" s="26">
        <v>2021</v>
      </c>
      <c r="BO6" s="26">
        <v>2086</v>
      </c>
      <c r="BP6" s="26">
        <v>2032</v>
      </c>
      <c r="BQ6" s="26">
        <v>1930</v>
      </c>
      <c r="BR6" s="26">
        <v>2146</v>
      </c>
      <c r="BS6" s="26">
        <v>2084</v>
      </c>
      <c r="BT6" s="26">
        <v>1782</v>
      </c>
      <c r="BU6" s="26">
        <v>2154</v>
      </c>
      <c r="BV6" s="26">
        <v>2215</v>
      </c>
      <c r="BW6" s="26">
        <v>2131</v>
      </c>
      <c r="BX6" s="26">
        <v>2165</v>
      </c>
      <c r="BY6" s="110">
        <f>SUM(BM6:BX6)</f>
        <v>24565</v>
      </c>
      <c r="BZ6" s="26">
        <v>1990</v>
      </c>
      <c r="CA6" s="26">
        <v>2227</v>
      </c>
      <c r="CB6" s="26">
        <v>2405</v>
      </c>
      <c r="CC6" s="26">
        <v>2313</v>
      </c>
      <c r="CD6" s="26">
        <v>2101</v>
      </c>
      <c r="CE6" s="88">
        <v>2407</v>
      </c>
      <c r="CF6" s="88">
        <v>2386</v>
      </c>
      <c r="CG6" s="88">
        <v>2079</v>
      </c>
      <c r="CH6" s="88">
        <v>2377</v>
      </c>
      <c r="CI6" s="88">
        <v>2451</v>
      </c>
      <c r="CJ6" s="259">
        <v>2512.7669999999998</v>
      </c>
      <c r="CK6" s="369">
        <v>2436</v>
      </c>
      <c r="CL6" s="102">
        <f>SUM(BZ6:CK6)</f>
        <v>27684.767</v>
      </c>
      <c r="CM6" s="289">
        <v>2177</v>
      </c>
      <c r="CN6" s="290">
        <v>2433</v>
      </c>
      <c r="CO6" s="290">
        <v>2658</v>
      </c>
      <c r="CP6" s="327">
        <v>2594</v>
      </c>
      <c r="CQ6" s="327">
        <v>2328</v>
      </c>
      <c r="CR6" s="327">
        <v>2654</v>
      </c>
      <c r="CS6" s="327">
        <v>2583</v>
      </c>
      <c r="CT6" s="327">
        <v>2345</v>
      </c>
      <c r="CU6" s="327">
        <v>2664</v>
      </c>
      <c r="CV6" s="327">
        <v>2672</v>
      </c>
      <c r="CW6" s="327">
        <v>2716</v>
      </c>
      <c r="CX6" s="317">
        <v>2686</v>
      </c>
      <c r="CY6" s="102">
        <f>SUM(CM6:CX6)</f>
        <v>30510</v>
      </c>
      <c r="CZ6" s="327">
        <v>2448</v>
      </c>
      <c r="DA6" s="327">
        <v>2743</v>
      </c>
      <c r="DB6" s="327">
        <v>2970</v>
      </c>
      <c r="DC6" s="327">
        <v>2804</v>
      </c>
      <c r="DD6" s="327">
        <v>2463</v>
      </c>
      <c r="DE6" s="327">
        <v>2864</v>
      </c>
      <c r="DF6" s="327">
        <v>2778</v>
      </c>
      <c r="DG6" s="327">
        <v>2444</v>
      </c>
      <c r="DH6" s="327">
        <v>2773</v>
      </c>
      <c r="DI6" s="327">
        <v>2956</v>
      </c>
      <c r="DJ6" s="327">
        <v>2887</v>
      </c>
      <c r="DK6" s="327">
        <v>2821</v>
      </c>
      <c r="DL6" s="102">
        <f>SUM(CZ6:DK6)</f>
        <v>32951</v>
      </c>
      <c r="DM6" s="327">
        <v>2542</v>
      </c>
      <c r="DN6" s="327">
        <v>2827</v>
      </c>
      <c r="DO6" s="327">
        <v>3019</v>
      </c>
      <c r="DP6" s="327">
        <v>2954</v>
      </c>
      <c r="DQ6" s="327">
        <v>2754</v>
      </c>
      <c r="DR6" s="327">
        <v>3064</v>
      </c>
      <c r="DS6" s="327">
        <v>2975</v>
      </c>
      <c r="DT6" s="327">
        <v>2621</v>
      </c>
      <c r="DU6" s="327">
        <v>3005</v>
      </c>
      <c r="DV6" s="327">
        <v>3206</v>
      </c>
      <c r="DW6" s="327">
        <v>3192</v>
      </c>
      <c r="DX6" s="290">
        <v>3015</v>
      </c>
      <c r="DY6" s="306">
        <f>SUM(DM6:DX6)</f>
        <v>35174</v>
      </c>
      <c r="DZ6" s="321">
        <v>2700</v>
      </c>
      <c r="EA6" s="321">
        <v>3234</v>
      </c>
      <c r="EB6" s="321">
        <v>3306</v>
      </c>
      <c r="EC6" s="321">
        <v>3191</v>
      </c>
      <c r="ED6" s="321">
        <v>2959</v>
      </c>
      <c r="EE6" s="321">
        <v>3293</v>
      </c>
      <c r="EF6" s="321">
        <v>3465</v>
      </c>
      <c r="EG6" s="321">
        <v>2745</v>
      </c>
      <c r="EH6" s="321">
        <v>3421</v>
      </c>
      <c r="EI6" s="321">
        <v>3375</v>
      </c>
      <c r="EJ6" s="321">
        <v>2960</v>
      </c>
      <c r="EK6" s="321">
        <v>2496</v>
      </c>
      <c r="EL6" s="306">
        <f>SUM(DZ6:EK6)</f>
        <v>37145</v>
      </c>
      <c r="EM6" s="321">
        <v>1841</v>
      </c>
      <c r="EN6" s="321">
        <v>1661</v>
      </c>
      <c r="EO6" s="321">
        <v>1576</v>
      </c>
      <c r="EP6" s="321">
        <v>1555.59</v>
      </c>
      <c r="EQ6" s="321">
        <v>1404.585</v>
      </c>
      <c r="ER6" s="321">
        <v>1731.404</v>
      </c>
      <c r="ES6" s="321">
        <v>1782.875</v>
      </c>
      <c r="ET6" s="321">
        <v>1496.72</v>
      </c>
      <c r="EU6" s="321">
        <v>1865.818</v>
      </c>
      <c r="EV6" s="321">
        <v>1942.74</v>
      </c>
      <c r="EW6" s="321">
        <v>2019.2529999999999</v>
      </c>
      <c r="EX6" s="321">
        <v>1985.5640000000001</v>
      </c>
      <c r="EY6" s="306">
        <f>SUM(EM6:EX6)</f>
        <v>20862.548999999999</v>
      </c>
      <c r="EZ6" s="321">
        <v>1890.9870000000001</v>
      </c>
      <c r="FA6" s="321">
        <v>2181.1410000000001</v>
      </c>
      <c r="FB6" s="321">
        <v>2404.277</v>
      </c>
      <c r="FC6" s="321">
        <v>2371.4789999999998</v>
      </c>
      <c r="FD6" s="321">
        <v>2186.4969999999998</v>
      </c>
      <c r="FE6" s="321">
        <v>2614.6239999999998</v>
      </c>
      <c r="FF6" s="321">
        <v>2572.069</v>
      </c>
      <c r="FG6" s="321">
        <v>2252.4430000000002</v>
      </c>
      <c r="FH6" s="321">
        <v>2651.0839999999998</v>
      </c>
      <c r="FI6" s="321">
        <v>2592.587</v>
      </c>
      <c r="FJ6" s="321">
        <v>2743.4549999999999</v>
      </c>
      <c r="FK6" s="321">
        <v>2757.308</v>
      </c>
      <c r="FL6" s="306">
        <f>SUM(EZ6:FK6)</f>
        <v>29217.950999999997</v>
      </c>
      <c r="FM6" s="321">
        <v>2437.0100000000002</v>
      </c>
      <c r="FN6" s="321">
        <v>2751.2220000000002</v>
      </c>
      <c r="FO6" s="321">
        <v>2813.377</v>
      </c>
      <c r="FP6" s="321">
        <v>2769.5610000000001</v>
      </c>
      <c r="FQ6" s="321">
        <v>2456.5639999999999</v>
      </c>
      <c r="FR6" s="321">
        <v>2925.8960000000002</v>
      </c>
      <c r="FS6" s="321">
        <v>2832.3829999999998</v>
      </c>
      <c r="FT6" s="321">
        <v>2583.7060000000001</v>
      </c>
      <c r="FU6" s="321">
        <v>2940.491</v>
      </c>
      <c r="FV6" s="321">
        <v>2898.83</v>
      </c>
      <c r="FW6" s="321">
        <v>2951.4540000000002</v>
      </c>
      <c r="FX6" s="321">
        <v>2746.4749999999999</v>
      </c>
      <c r="FY6" s="306">
        <f>SUM(FM6:FX6)</f>
        <v>33106.969000000005</v>
      </c>
      <c r="FZ6" s="321">
        <v>2504.23</v>
      </c>
      <c r="GA6" s="321">
        <v>2843.7429999999999</v>
      </c>
      <c r="GB6" s="321">
        <v>2901.1779999999999</v>
      </c>
      <c r="GC6" s="321">
        <v>2781.8780000000002</v>
      </c>
      <c r="GD6" s="321">
        <v>2653.2840000000001</v>
      </c>
      <c r="GE6" s="321">
        <v>2944.9389999999999</v>
      </c>
      <c r="GF6" s="321">
        <v>2894.7809999999999</v>
      </c>
      <c r="GG6" s="321">
        <v>2359.65</v>
      </c>
      <c r="GH6" s="321">
        <v>2627.0639999999999</v>
      </c>
      <c r="GI6" s="321">
        <v>2604.0540000000001</v>
      </c>
      <c r="GJ6" s="321">
        <v>2407.567</v>
      </c>
      <c r="GK6" s="321">
        <v>2202.4839999999999</v>
      </c>
      <c r="GL6" s="420">
        <f>SUM(FZ6:GK6)</f>
        <v>31724.851999999999</v>
      </c>
      <c r="GM6" s="321">
        <v>2060.694</v>
      </c>
      <c r="GN6" s="321">
        <v>2377.0889999999999</v>
      </c>
      <c r="GO6" s="321">
        <v>2350.5770000000002</v>
      </c>
      <c r="GP6" s="321">
        <v>2500.875</v>
      </c>
      <c r="GQ6" s="321">
        <v>2451.1019999999999</v>
      </c>
      <c r="GR6" s="321">
        <v>2576.663</v>
      </c>
      <c r="GS6" s="321">
        <v>2766.5990000000002</v>
      </c>
      <c r="GT6" s="321">
        <v>2230.5770000000002</v>
      </c>
      <c r="GU6" s="321">
        <v>2689.4340000000002</v>
      </c>
      <c r="GV6" s="321">
        <v>2796.02</v>
      </c>
      <c r="GW6" s="321">
        <v>2650.3150000000001</v>
      </c>
      <c r="GX6" s="321">
        <v>2575.462</v>
      </c>
      <c r="GY6" s="420">
        <f>SUM(GM6:GX6)</f>
        <v>30025.407000000003</v>
      </c>
      <c r="GZ6" s="321">
        <v>2428.8690000000001</v>
      </c>
      <c r="HA6" s="321">
        <v>2662.268</v>
      </c>
      <c r="HB6" s="321">
        <v>2778.9479999999999</v>
      </c>
      <c r="HC6" s="321">
        <v>2771.6529999999998</v>
      </c>
      <c r="HD6" s="321">
        <v>2655.8760000000002</v>
      </c>
      <c r="HE6" s="321">
        <v>2933.3130000000001</v>
      </c>
      <c r="HF6" s="321">
        <v>2945.145</v>
      </c>
      <c r="HG6" s="321">
        <v>2347.6529999999998</v>
      </c>
      <c r="HH6" s="321">
        <v>3016.3980000000001</v>
      </c>
      <c r="HI6" s="321">
        <v>2980.9850000000001</v>
      </c>
      <c r="HJ6" s="321">
        <v>2681.0920000000001</v>
      </c>
      <c r="HK6" s="321">
        <v>2741.3809999999999</v>
      </c>
      <c r="HL6" s="420">
        <f>SUM(GZ6:HK6)</f>
        <v>32943.580999999998</v>
      </c>
      <c r="HM6" s="321">
        <v>2554.6379999999999</v>
      </c>
      <c r="HN6" s="289">
        <v>2807.9580000000001</v>
      </c>
      <c r="HO6" s="306">
        <v>2966.0810000000001</v>
      </c>
      <c r="HP6" s="425">
        <v>2801.1979999999999</v>
      </c>
      <c r="HQ6" s="432">
        <v>2528.0659999999998</v>
      </c>
      <c r="HR6" s="432">
        <v>3015.922</v>
      </c>
      <c r="HS6" s="432">
        <v>2909.259</v>
      </c>
      <c r="HT6" s="432">
        <v>2393.7820000000002</v>
      </c>
      <c r="HU6" s="432">
        <v>2788.57</v>
      </c>
      <c r="HV6" s="432">
        <v>2777.913</v>
      </c>
      <c r="HW6" s="432">
        <v>2702.1030000000001</v>
      </c>
      <c r="HX6" s="432">
        <v>2576.7849999999999</v>
      </c>
      <c r="HY6" s="473">
        <f>SUM(HM6:HX6)</f>
        <v>32822.274999999994</v>
      </c>
      <c r="HZ6" s="467">
        <v>2368012</v>
      </c>
      <c r="IA6" s="467">
        <v>2798916</v>
      </c>
      <c r="IB6" s="467">
        <v>2951860</v>
      </c>
      <c r="IC6" s="467">
        <v>2790994</v>
      </c>
      <c r="ID6" s="467">
        <v>2465379</v>
      </c>
      <c r="IE6" s="467">
        <v>2892518</v>
      </c>
      <c r="IF6" s="467">
        <v>2757723</v>
      </c>
      <c r="IG6" s="467">
        <v>2486340</v>
      </c>
      <c r="IH6" s="467">
        <v>2863110</v>
      </c>
      <c r="II6" s="467">
        <v>2846156</v>
      </c>
      <c r="IJ6" s="467">
        <v>2919432</v>
      </c>
      <c r="IK6" s="467">
        <v>2794667</v>
      </c>
      <c r="IL6" s="468">
        <f>SUM(HZ6:IK6)</f>
        <v>32935107</v>
      </c>
      <c r="IM6" s="467">
        <v>2578725</v>
      </c>
      <c r="IN6" s="467">
        <v>2930589</v>
      </c>
      <c r="IO6" s="467">
        <v>3163294</v>
      </c>
      <c r="IP6" s="467">
        <v>2973844</v>
      </c>
      <c r="IQ6" s="467">
        <v>2737056</v>
      </c>
      <c r="IR6" s="467">
        <v>3233163</v>
      </c>
      <c r="IS6" s="467">
        <v>3139256</v>
      </c>
      <c r="IT6" s="467">
        <v>2722662</v>
      </c>
      <c r="IU6" s="467">
        <v>3134781</v>
      </c>
      <c r="IV6" s="467">
        <v>3222361</v>
      </c>
      <c r="IW6" s="467">
        <v>3279714</v>
      </c>
      <c r="IX6" s="467">
        <v>3089706</v>
      </c>
      <c r="IY6" s="468">
        <f>SUM(IM6:IX6)</f>
        <v>36205151</v>
      </c>
      <c r="IZ6" s="467">
        <v>2755095</v>
      </c>
      <c r="JA6" s="467">
        <v>3179376</v>
      </c>
      <c r="JB6" s="467">
        <v>3392047</v>
      </c>
      <c r="JC6" s="467">
        <v>3334058</v>
      </c>
      <c r="JD6" s="467">
        <v>3024693</v>
      </c>
      <c r="JE6" s="467">
        <v>3423529</v>
      </c>
      <c r="JF6" s="520">
        <v>3381</v>
      </c>
      <c r="JG6" s="520">
        <v>2849</v>
      </c>
      <c r="JH6" s="520">
        <v>3207</v>
      </c>
      <c r="JI6" s="520">
        <v>3547</v>
      </c>
      <c r="JJ6" s="520">
        <v>3414</v>
      </c>
      <c r="JK6" s="520">
        <v>3176</v>
      </c>
      <c r="JL6" s="525">
        <v>38683</v>
      </c>
      <c r="JM6" s="412">
        <v>2755</v>
      </c>
      <c r="JN6" s="568">
        <v>3118</v>
      </c>
    </row>
    <row r="7" spans="1:274" ht="13.5" customHeight="1" thickBot="1" x14ac:dyDescent="0.35">
      <c r="A7" s="551"/>
      <c r="B7" s="65" t="s">
        <v>102</v>
      </c>
      <c r="C7" s="67"/>
      <c r="D7" s="60">
        <f t="shared" ref="D7:M7" si="40">(D6/C6-1)*100</f>
        <v>5.377989749430534</v>
      </c>
      <c r="E7" s="60">
        <f t="shared" si="40"/>
        <v>0.57756611612118647</v>
      </c>
      <c r="F7" s="60">
        <f t="shared" si="40"/>
        <v>-14.500638054939884</v>
      </c>
      <c r="G7" s="60">
        <f t="shared" si="40"/>
        <v>-3.1853888452474499</v>
      </c>
      <c r="H7" s="60">
        <f t="shared" si="40"/>
        <v>-3.2131120937969104</v>
      </c>
      <c r="I7" s="60">
        <f t="shared" si="40"/>
        <v>8.7940646351175822</v>
      </c>
      <c r="J7" s="60">
        <f t="shared" si="40"/>
        <v>-9.6320554806395009E-2</v>
      </c>
      <c r="K7" s="60">
        <f t="shared" si="40"/>
        <v>1.014269186270722</v>
      </c>
      <c r="L7" s="60">
        <f t="shared" si="40"/>
        <v>-16.198984461497346</v>
      </c>
      <c r="M7" s="60">
        <f t="shared" si="40"/>
        <v>-4.0000000000000036</v>
      </c>
      <c r="N7" s="60">
        <f>(N6/M6-1)*100</f>
        <v>9.7475322703113108</v>
      </c>
      <c r="O7" s="61"/>
      <c r="P7" s="62"/>
      <c r="Q7" s="62"/>
      <c r="R7" s="62"/>
      <c r="S7" s="62"/>
      <c r="T7" s="62"/>
      <c r="U7" s="62"/>
      <c r="V7" s="62"/>
      <c r="W7" s="62"/>
      <c r="X7" s="62"/>
      <c r="Y7" s="62"/>
      <c r="Z7" s="63"/>
      <c r="AA7" s="60">
        <f t="shared" ref="AA7:AL7" si="41">(AA6/O6-1)*100</f>
        <v>9.0732339598185376</v>
      </c>
      <c r="AB7" s="60">
        <f t="shared" si="41"/>
        <v>5.0471436494730959</v>
      </c>
      <c r="AC7" s="60">
        <f t="shared" si="41"/>
        <v>8.806050783360341</v>
      </c>
      <c r="AD7" s="60">
        <f t="shared" si="41"/>
        <v>11.744386873920543</v>
      </c>
      <c r="AE7" s="60">
        <f t="shared" si="41"/>
        <v>12.820512820512819</v>
      </c>
      <c r="AF7" s="60">
        <f t="shared" si="41"/>
        <v>15.223542727787208</v>
      </c>
      <c r="AG7" s="60">
        <f t="shared" si="41"/>
        <v>10.555555555555562</v>
      </c>
      <c r="AH7" s="60">
        <f t="shared" si="41"/>
        <v>11.330362826225326</v>
      </c>
      <c r="AI7" s="60">
        <f t="shared" si="41"/>
        <v>9.8414434117003893</v>
      </c>
      <c r="AJ7" s="60">
        <f t="shared" si="41"/>
        <v>9.8018211033743974</v>
      </c>
      <c r="AK7" s="60">
        <f t="shared" si="41"/>
        <v>3.1433137986148108</v>
      </c>
      <c r="AL7" s="84">
        <f t="shared" si="41"/>
        <v>10.503282275711157</v>
      </c>
      <c r="AM7" s="60">
        <f>(AM6/N6-1)*100</f>
        <v>-3.8917236011415723</v>
      </c>
      <c r="AN7" s="121">
        <f t="shared" ref="AN7:BL7" si="42">(AN6/AA6-1)*100</f>
        <v>6.4171122994652441</v>
      </c>
      <c r="AO7" s="60">
        <f t="shared" si="42"/>
        <v>5.0686378035902813</v>
      </c>
      <c r="AP7" s="84">
        <f t="shared" si="42"/>
        <v>2.9294935451837034</v>
      </c>
      <c r="AQ7" s="60">
        <f t="shared" si="42"/>
        <v>1.8547140649149974</v>
      </c>
      <c r="AR7" s="60">
        <f t="shared" si="42"/>
        <v>-4.1574279379157471</v>
      </c>
      <c r="AS7" s="82">
        <f t="shared" si="42"/>
        <v>-5.8447937131630656</v>
      </c>
      <c r="AT7" s="60">
        <f t="shared" si="42"/>
        <v>-7.0351758793969825</v>
      </c>
      <c r="AU7" s="82">
        <f t="shared" si="42"/>
        <v>-3.9451114922813058</v>
      </c>
      <c r="AV7" s="60">
        <f t="shared" si="42"/>
        <v>-9.4574415131906449</v>
      </c>
      <c r="AW7" s="82">
        <f t="shared" si="42"/>
        <v>-9.5609756097560954</v>
      </c>
      <c r="AX7" s="60">
        <f t="shared" si="42"/>
        <v>-6.4049586776859453</v>
      </c>
      <c r="AY7" s="83">
        <f t="shared" si="42"/>
        <v>-14.15841584158416</v>
      </c>
      <c r="AZ7" s="127">
        <f t="shared" si="42"/>
        <v>-0.47691892378295409</v>
      </c>
      <c r="BA7" s="124">
        <f t="shared" si="42"/>
        <v>-15.577889447236181</v>
      </c>
      <c r="BB7" s="32">
        <f t="shared" si="42"/>
        <v>-11.507537688442216</v>
      </c>
      <c r="BC7" s="32">
        <f t="shared" si="42"/>
        <v>-13.265798359864933</v>
      </c>
      <c r="BD7" s="32">
        <f t="shared" si="42"/>
        <v>-9.2058674759736938</v>
      </c>
      <c r="BE7" s="32">
        <f t="shared" si="42"/>
        <v>1.7929438982070556</v>
      </c>
      <c r="BF7" s="32">
        <f t="shared" si="42"/>
        <v>-0.99113197704746581</v>
      </c>
      <c r="BG7" s="32">
        <f t="shared" si="42"/>
        <v>8.1081081081081141</v>
      </c>
      <c r="BH7" s="32">
        <f t="shared" si="42"/>
        <v>-1.4880952380952328</v>
      </c>
      <c r="BI7" s="32">
        <f t="shared" si="42"/>
        <v>6.2122045079714194</v>
      </c>
      <c r="BJ7" s="32">
        <f t="shared" si="42"/>
        <v>8.4681769147788586</v>
      </c>
      <c r="BK7" s="32">
        <f t="shared" si="42"/>
        <v>11.092715231788075</v>
      </c>
      <c r="BL7" s="32">
        <f t="shared" si="42"/>
        <v>14.475201845444063</v>
      </c>
      <c r="BM7" s="32">
        <f t="shared" ref="BM7:BX7" si="43">(BM6/BA6-1)*100</f>
        <v>20.304232804232814</v>
      </c>
      <c r="BN7" s="32">
        <f t="shared" si="43"/>
        <v>14.76433844406586</v>
      </c>
      <c r="BO7" s="32">
        <f t="shared" si="43"/>
        <v>16.017797552836477</v>
      </c>
      <c r="BP7" s="32">
        <f t="shared" si="43"/>
        <v>13.203342618384406</v>
      </c>
      <c r="BQ7" s="32">
        <f t="shared" si="43"/>
        <v>9.6590909090909172</v>
      </c>
      <c r="BR7" s="32">
        <f t="shared" si="43"/>
        <v>13.066385669125392</v>
      </c>
      <c r="BS7" s="32">
        <f t="shared" si="43"/>
        <v>4.2000000000000037</v>
      </c>
      <c r="BT7" s="32">
        <f t="shared" si="43"/>
        <v>7.6737160120845971</v>
      </c>
      <c r="BU7" s="32">
        <f t="shared" si="43"/>
        <v>11.490683229813659</v>
      </c>
      <c r="BV7" s="32">
        <f t="shared" si="43"/>
        <v>10.144206862257587</v>
      </c>
      <c r="BW7" s="32">
        <f t="shared" si="43"/>
        <v>5.8618976651763521</v>
      </c>
      <c r="BX7" s="32">
        <f t="shared" si="43"/>
        <v>9.0680100755667468</v>
      </c>
      <c r="BY7" s="127">
        <f>(BY6/AZ6-1)*100</f>
        <v>11.053345388788415</v>
      </c>
      <c r="BZ7" s="32">
        <f t="shared" ref="BZ7:CK7" si="44">(BZ6/BM6-1)*100</f>
        <v>9.4007696536558605</v>
      </c>
      <c r="CA7" s="32">
        <f t="shared" si="44"/>
        <v>10.192973775358727</v>
      </c>
      <c r="CB7" s="32">
        <f t="shared" si="44"/>
        <v>15.292425695110268</v>
      </c>
      <c r="CC7" s="32">
        <f t="shared" si="44"/>
        <v>13.828740157480324</v>
      </c>
      <c r="CD7" s="108">
        <f t="shared" si="44"/>
        <v>8.8601036269430047</v>
      </c>
      <c r="CE7" s="152">
        <f t="shared" si="44"/>
        <v>12.162162162162172</v>
      </c>
      <c r="CF7" s="152">
        <f t="shared" si="44"/>
        <v>14.491362763915539</v>
      </c>
      <c r="CG7" s="152">
        <f t="shared" si="44"/>
        <v>16.666666666666675</v>
      </c>
      <c r="CH7" s="152">
        <f t="shared" si="44"/>
        <v>10.35283194057568</v>
      </c>
      <c r="CI7" s="152">
        <f t="shared" si="44"/>
        <v>10.654627539503391</v>
      </c>
      <c r="CJ7" s="260">
        <f t="shared" si="44"/>
        <v>17.914922571562641</v>
      </c>
      <c r="CK7" s="370">
        <f t="shared" si="44"/>
        <v>12.517321016166271</v>
      </c>
      <c r="CL7" s="83">
        <f t="shared" ref="CL7:EL7" si="45">(CL6/BY6-1)*100</f>
        <v>12.70004884998983</v>
      </c>
      <c r="CM7" s="301">
        <f t="shared" si="45"/>
        <v>9.3969849246231085</v>
      </c>
      <c r="CN7" s="302">
        <f t="shared" si="45"/>
        <v>9.2501122586439166</v>
      </c>
      <c r="CO7" s="302">
        <f t="shared" si="45"/>
        <v>10.519750519750515</v>
      </c>
      <c r="CP7" s="378">
        <f t="shared" si="45"/>
        <v>12.148724600086469</v>
      </c>
      <c r="CQ7" s="378">
        <f t="shared" si="45"/>
        <v>10.804378867206088</v>
      </c>
      <c r="CR7" s="378">
        <f t="shared" si="45"/>
        <v>10.261736601578718</v>
      </c>
      <c r="CS7" s="378">
        <f t="shared" si="45"/>
        <v>8.2564962279966458</v>
      </c>
      <c r="CT7" s="378">
        <f t="shared" si="45"/>
        <v>12.794612794612803</v>
      </c>
      <c r="CU7" s="378">
        <f t="shared" si="45"/>
        <v>12.074042911232642</v>
      </c>
      <c r="CV7" s="378">
        <f t="shared" si="45"/>
        <v>9.0167278661770656</v>
      </c>
      <c r="CW7" s="378">
        <f t="shared" si="45"/>
        <v>8.0880161192820488</v>
      </c>
      <c r="CX7" s="374">
        <f t="shared" si="45"/>
        <v>10.262725779967163</v>
      </c>
      <c r="CY7" s="83">
        <f t="shared" si="45"/>
        <v>10.205009130111154</v>
      </c>
      <c r="CZ7" s="378">
        <f t="shared" si="45"/>
        <v>12.448323380799264</v>
      </c>
      <c r="DA7" s="378">
        <f t="shared" si="45"/>
        <v>12.741471434443064</v>
      </c>
      <c r="DB7" s="378">
        <f t="shared" si="45"/>
        <v>11.738148984198649</v>
      </c>
      <c r="DC7" s="378">
        <f t="shared" si="45"/>
        <v>8.0956052428681637</v>
      </c>
      <c r="DD7" s="378">
        <f t="shared" si="45"/>
        <v>5.7989690721649501</v>
      </c>
      <c r="DE7" s="378">
        <f t="shared" si="45"/>
        <v>7.9125847776940539</v>
      </c>
      <c r="DF7" s="378">
        <f t="shared" si="45"/>
        <v>7.5493612078977979</v>
      </c>
      <c r="DG7" s="378">
        <f t="shared" si="45"/>
        <v>4.2217484008528761</v>
      </c>
      <c r="DH7" s="378">
        <f t="shared" si="45"/>
        <v>4.0915915915915813</v>
      </c>
      <c r="DI7" s="378">
        <f t="shared" si="45"/>
        <v>10.628742514970057</v>
      </c>
      <c r="DJ7" s="378">
        <f t="shared" si="45"/>
        <v>6.296023564064801</v>
      </c>
      <c r="DK7" s="378">
        <f t="shared" si="45"/>
        <v>5.026061057334319</v>
      </c>
      <c r="DL7" s="83">
        <f t="shared" si="45"/>
        <v>8.0006555227794216</v>
      </c>
      <c r="DM7" s="378">
        <f t="shared" si="45"/>
        <v>3.8398692810457602</v>
      </c>
      <c r="DN7" s="378">
        <f t="shared" si="45"/>
        <v>3.0623405030987927</v>
      </c>
      <c r="DO7" s="378">
        <f t="shared" si="45"/>
        <v>1.6498316498316568</v>
      </c>
      <c r="DP7" s="378">
        <f t="shared" si="45"/>
        <v>5.3495007132667638</v>
      </c>
      <c r="DQ7" s="378">
        <f t="shared" si="45"/>
        <v>11.814859926918398</v>
      </c>
      <c r="DR7" s="378">
        <f t="shared" si="45"/>
        <v>6.9832402234636826</v>
      </c>
      <c r="DS7" s="378">
        <f t="shared" si="45"/>
        <v>7.0914326853851684</v>
      </c>
      <c r="DT7" s="378">
        <f t="shared" si="45"/>
        <v>7.2422258592471422</v>
      </c>
      <c r="DU7" s="378">
        <f t="shared" si="45"/>
        <v>8.3663901911287475</v>
      </c>
      <c r="DV7" s="378">
        <f t="shared" si="45"/>
        <v>8.4573748308524941</v>
      </c>
      <c r="DW7" s="378">
        <f t="shared" si="45"/>
        <v>10.56459993072394</v>
      </c>
      <c r="DX7" s="302">
        <f t="shared" si="45"/>
        <v>6.8769939737681751</v>
      </c>
      <c r="DY7" s="394">
        <f t="shared" si="45"/>
        <v>6.7463809899547922</v>
      </c>
      <c r="DZ7" s="397">
        <f t="shared" si="45"/>
        <v>6.2155782848151153</v>
      </c>
      <c r="EA7" s="397">
        <f t="shared" si="45"/>
        <v>14.396887159533067</v>
      </c>
      <c r="EB7" s="397">
        <f t="shared" si="45"/>
        <v>9.5064590924146977</v>
      </c>
      <c r="EC7" s="397">
        <f t="shared" si="45"/>
        <v>8.0230196343940463</v>
      </c>
      <c r="ED7" s="397">
        <f t="shared" si="45"/>
        <v>7.4437182280319591</v>
      </c>
      <c r="EE7" s="397">
        <f t="shared" si="45"/>
        <v>7.4738903394255818</v>
      </c>
      <c r="EF7" s="397">
        <f t="shared" si="45"/>
        <v>16.470588235294127</v>
      </c>
      <c r="EG7" s="397">
        <f t="shared" si="45"/>
        <v>4.7310186951545319</v>
      </c>
      <c r="EH7" s="397">
        <f t="shared" si="45"/>
        <v>13.843594009983363</v>
      </c>
      <c r="EI7" s="397">
        <f t="shared" si="45"/>
        <v>5.2713661883967644</v>
      </c>
      <c r="EJ7" s="397">
        <f t="shared" si="45"/>
        <v>-7.2681704260651685</v>
      </c>
      <c r="EK7" s="397">
        <f t="shared" si="45"/>
        <v>-17.21393034825871</v>
      </c>
      <c r="EL7" s="394">
        <f t="shared" si="45"/>
        <v>5.6035708193552081</v>
      </c>
      <c r="EM7" s="397">
        <f t="shared" ref="EM7:EX7" si="46">(EM6/DZ6-1)*100</f>
        <v>-31.814814814814817</v>
      </c>
      <c r="EN7" s="397">
        <f t="shared" si="46"/>
        <v>-48.639455782312922</v>
      </c>
      <c r="EO7" s="397">
        <f t="shared" si="46"/>
        <v>-52.329098608590442</v>
      </c>
      <c r="EP7" s="397">
        <f t="shared" si="46"/>
        <v>-51.250705108116577</v>
      </c>
      <c r="EQ7" s="397">
        <f t="shared" si="46"/>
        <v>-52.531767489016559</v>
      </c>
      <c r="ER7" s="397">
        <f t="shared" si="46"/>
        <v>-47.42168235651382</v>
      </c>
      <c r="ES7" s="397">
        <f t="shared" si="46"/>
        <v>-48.546176046176051</v>
      </c>
      <c r="ET7" s="397">
        <f t="shared" si="46"/>
        <v>-45.474681238615666</v>
      </c>
      <c r="EU7" s="397">
        <f t="shared" si="46"/>
        <v>-45.459865536392861</v>
      </c>
      <c r="EV7" s="397">
        <f t="shared" si="46"/>
        <v>-42.437333333333335</v>
      </c>
      <c r="EW7" s="397">
        <f t="shared" si="46"/>
        <v>-31.781993243243246</v>
      </c>
      <c r="EX7" s="397">
        <f t="shared" si="46"/>
        <v>-20.450160256410253</v>
      </c>
      <c r="EY7" s="394">
        <f t="shared" ref="EY7:FX7" si="47">(EY6/EL6-1)*100</f>
        <v>-43.834839143895543</v>
      </c>
      <c r="EZ7" s="397">
        <f t="shared" si="47"/>
        <v>2.715209125475293</v>
      </c>
      <c r="FA7" s="397">
        <f t="shared" si="47"/>
        <v>31.314930764599637</v>
      </c>
      <c r="FB7" s="397">
        <f t="shared" si="47"/>
        <v>52.555647208121826</v>
      </c>
      <c r="FC7" s="397">
        <f t="shared" si="47"/>
        <v>52.448845775557814</v>
      </c>
      <c r="FD7" s="397">
        <f t="shared" si="47"/>
        <v>55.6685426656272</v>
      </c>
      <c r="FE7" s="397">
        <f t="shared" si="47"/>
        <v>51.011780035162204</v>
      </c>
      <c r="FF7" s="397">
        <f t="shared" si="47"/>
        <v>44.265245740727764</v>
      </c>
      <c r="FG7" s="397">
        <f t="shared" si="47"/>
        <v>50.491942380672405</v>
      </c>
      <c r="FH7" s="397">
        <f t="shared" si="47"/>
        <v>42.086955962478648</v>
      </c>
      <c r="FI7" s="397">
        <f t="shared" si="47"/>
        <v>33.450024192635141</v>
      </c>
      <c r="FJ7" s="397">
        <f t="shared" si="47"/>
        <v>35.864847049874385</v>
      </c>
      <c r="FK7" s="397">
        <f t="shared" si="47"/>
        <v>38.86774740073853</v>
      </c>
      <c r="FL7" s="394">
        <f t="shared" si="47"/>
        <v>40.049765730927689</v>
      </c>
      <c r="FM7" s="397">
        <f t="shared" si="47"/>
        <v>28.875026639527412</v>
      </c>
      <c r="FN7" s="397">
        <f t="shared" si="47"/>
        <v>26.136824716971539</v>
      </c>
      <c r="FO7" s="397">
        <f t="shared" si="47"/>
        <v>17.015510276062209</v>
      </c>
      <c r="FP7" s="397">
        <f t="shared" si="47"/>
        <v>16.786233401181306</v>
      </c>
      <c r="FQ7" s="397">
        <f t="shared" si="47"/>
        <v>12.351583377429742</v>
      </c>
      <c r="FR7" s="397">
        <f t="shared" si="47"/>
        <v>11.905038735971241</v>
      </c>
      <c r="FS7" s="397">
        <f t="shared" si="47"/>
        <v>10.120801580361949</v>
      </c>
      <c r="FT7" s="397">
        <f t="shared" si="47"/>
        <v>14.706831649013985</v>
      </c>
      <c r="FU7" s="397">
        <f t="shared" si="47"/>
        <v>10.916553379674143</v>
      </c>
      <c r="FV7" s="397">
        <f t="shared" si="47"/>
        <v>11.812255480722534</v>
      </c>
      <c r="FW7" s="397">
        <f t="shared" si="47"/>
        <v>7.5816443134660627</v>
      </c>
      <c r="FX7" s="397">
        <f t="shared" si="47"/>
        <v>-0.39288320347237171</v>
      </c>
      <c r="FY7" s="394">
        <f t="shared" ref="FY7:GH7" si="48">(FY6/FL6-1)*100</f>
        <v>13.310372106517686</v>
      </c>
      <c r="FZ7" s="397">
        <f t="shared" si="48"/>
        <v>2.7582980783829258</v>
      </c>
      <c r="GA7" s="397">
        <f t="shared" si="48"/>
        <v>3.362905647017933</v>
      </c>
      <c r="GB7" s="397">
        <f t="shared" si="48"/>
        <v>3.1208401860113311</v>
      </c>
      <c r="GC7" s="397">
        <f t="shared" si="48"/>
        <v>0.44472752179858244</v>
      </c>
      <c r="GD7" s="397">
        <f t="shared" si="48"/>
        <v>8.007933031665381</v>
      </c>
      <c r="GE7" s="397">
        <f t="shared" si="48"/>
        <v>0.65084336558782763</v>
      </c>
      <c r="GF7" s="397">
        <f t="shared" si="48"/>
        <v>2.2030212721937836</v>
      </c>
      <c r="GG7" s="397">
        <f t="shared" si="48"/>
        <v>-8.6718844945980695</v>
      </c>
      <c r="GH7" s="397">
        <f t="shared" si="48"/>
        <v>-10.659002187049715</v>
      </c>
      <c r="GI7" s="397">
        <f>(GI6/FU6-1)*100</f>
        <v>-11.441524561714346</v>
      </c>
      <c r="GJ7" s="397">
        <f>(GJ6/FV6-1)*100</f>
        <v>-16.946940662267185</v>
      </c>
      <c r="GK7" s="397">
        <f>(GK6/FW6-1)*100</f>
        <v>-25.37630605118698</v>
      </c>
      <c r="GL7" s="419">
        <f t="shared" ref="GL7:HY7" si="49">(GL6/FY6-1)*100</f>
        <v>-4.1747011029611532</v>
      </c>
      <c r="GM7" s="397">
        <f t="shared" si="49"/>
        <v>-17.711472189056121</v>
      </c>
      <c r="GN7" s="397">
        <f t="shared" si="49"/>
        <v>-16.409851382491315</v>
      </c>
      <c r="GO7" s="397">
        <f t="shared" si="49"/>
        <v>-18.97853216865699</v>
      </c>
      <c r="GP7" s="397">
        <f t="shared" si="49"/>
        <v>-10.101197823916074</v>
      </c>
      <c r="GQ7" s="397">
        <f t="shared" si="49"/>
        <v>-7.6200663027403142</v>
      </c>
      <c r="GR7" s="397">
        <f t="shared" si="49"/>
        <v>-12.505386359445813</v>
      </c>
      <c r="GS7" s="397">
        <f t="shared" si="49"/>
        <v>-4.4280379068399212</v>
      </c>
      <c r="GT7" s="397">
        <f t="shared" si="49"/>
        <v>-5.4700061449791226</v>
      </c>
      <c r="GU7" s="397">
        <f t="shared" si="49"/>
        <v>2.3741332529394255</v>
      </c>
      <c r="GV7" s="397">
        <f t="shared" si="49"/>
        <v>7.3718133341320824</v>
      </c>
      <c r="GW7" s="397">
        <f t="shared" si="49"/>
        <v>10.082710055421096</v>
      </c>
      <c r="GX7" s="397">
        <f t="shared" si="49"/>
        <v>16.934424949284544</v>
      </c>
      <c r="GY7" s="419">
        <f t="shared" si="49"/>
        <v>-5.3568256204946092</v>
      </c>
      <c r="GZ7" s="397">
        <f t="shared" si="49"/>
        <v>17.86655369501733</v>
      </c>
      <c r="HA7" s="397">
        <f t="shared" si="49"/>
        <v>11.99698454706577</v>
      </c>
      <c r="HB7" s="397">
        <f t="shared" si="49"/>
        <v>18.224078598573868</v>
      </c>
      <c r="HC7" s="397">
        <f t="shared" si="49"/>
        <v>10.82733043434796</v>
      </c>
      <c r="HD7" s="397">
        <f t="shared" si="49"/>
        <v>8.3543646898415638</v>
      </c>
      <c r="HE7" s="397">
        <f t="shared" si="49"/>
        <v>13.841546216948043</v>
      </c>
      <c r="HF7" s="397">
        <f t="shared" si="49"/>
        <v>6.4536277212563053</v>
      </c>
      <c r="HG7" s="397">
        <f t="shared" si="49"/>
        <v>5.2486867747672195</v>
      </c>
      <c r="HH7" s="397">
        <f t="shared" si="49"/>
        <v>12.157353554688456</v>
      </c>
      <c r="HI7" s="397">
        <f t="shared" si="49"/>
        <v>6.6152960279254103</v>
      </c>
      <c r="HJ7" s="397">
        <f t="shared" si="49"/>
        <v>1.1612581900642072</v>
      </c>
      <c r="HK7" s="397">
        <f t="shared" si="49"/>
        <v>6.4423004493950886</v>
      </c>
      <c r="HL7" s="419">
        <f t="shared" si="49"/>
        <v>9.7190156323276433</v>
      </c>
      <c r="HM7" s="397">
        <f t="shared" si="49"/>
        <v>5.1780890612050268</v>
      </c>
      <c r="HN7" s="301">
        <f t="shared" si="49"/>
        <v>5.4724017266481129</v>
      </c>
      <c r="HO7" s="424">
        <f t="shared" si="49"/>
        <v>6.7339511210717351</v>
      </c>
      <c r="HP7" s="303">
        <f t="shared" si="49"/>
        <v>1.0659703794089648</v>
      </c>
      <c r="HQ7" s="424">
        <f t="shared" si="49"/>
        <v>-4.8123481668572055</v>
      </c>
      <c r="HR7" s="424">
        <f t="shared" si="49"/>
        <v>2.8162354307228687</v>
      </c>
      <c r="HS7" s="424">
        <f t="shared" si="49"/>
        <v>-1.218479905064096</v>
      </c>
      <c r="HT7" s="424">
        <f t="shared" si="49"/>
        <v>1.9648985603920366</v>
      </c>
      <c r="HU7" s="424">
        <f t="shared" si="49"/>
        <v>-7.5529820666901397</v>
      </c>
      <c r="HV7" s="424">
        <f t="shared" si="49"/>
        <v>-6.812244945881984</v>
      </c>
      <c r="HW7" s="424">
        <f t="shared" si="49"/>
        <v>0.78367321971792858</v>
      </c>
      <c r="HX7" s="424">
        <f t="shared" si="49"/>
        <v>-6.0041271169530948</v>
      </c>
      <c r="HY7" s="474">
        <f t="shared" si="49"/>
        <v>-0.36822347880154371</v>
      </c>
      <c r="HZ7" s="424">
        <f>(2368/2555-1)*100</f>
        <v>-7.3189823874755362</v>
      </c>
      <c r="IA7" s="424">
        <f>(2799/2808-1)*100</f>
        <v>-0.32051282051281937</v>
      </c>
      <c r="IB7" s="424">
        <f>(2952/2966-1)*100</f>
        <v>-0.47201618341200513</v>
      </c>
      <c r="IC7" s="424">
        <f>(2791/2801-1)*100</f>
        <v>-0.35701535166011711</v>
      </c>
      <c r="ID7" s="424">
        <f>(2465/2528-1)*100</f>
        <v>-2.4920886075949333</v>
      </c>
      <c r="IE7" s="424">
        <f>(2893/3016-1)*100</f>
        <v>-4.0782493368700212</v>
      </c>
      <c r="IF7" s="424">
        <f>(2758/2909-1)*100</f>
        <v>-5.1907872121003784</v>
      </c>
      <c r="IG7" s="424">
        <f>(2486/2394-1)*100</f>
        <v>3.8429406850459591</v>
      </c>
      <c r="IH7" s="424">
        <f>(2863/2789-1)*100</f>
        <v>2.6532807457870122</v>
      </c>
      <c r="II7" s="424">
        <f>(2846/2778-1)*100</f>
        <v>2.4478041756659463</v>
      </c>
      <c r="IJ7" s="424">
        <f>(2919/2702-1)*100</f>
        <v>8.0310880829015616</v>
      </c>
      <c r="IK7" s="424">
        <f>(2795/2577-1)*100</f>
        <v>8.4594489716724794</v>
      </c>
      <c r="IL7" s="474">
        <f>(32935/32822-1)*100</f>
        <v>0.34428127475474302</v>
      </c>
      <c r="IM7" s="424">
        <f>(IM6/HZ6-1)*100</f>
        <v>8.898307947763783</v>
      </c>
      <c r="IN7" s="505">
        <f>(IN6/IA6-1)*100</f>
        <v>4.7044284287202531</v>
      </c>
      <c r="IO7" s="505">
        <f t="shared" ref="IO7:IX7" si="50">(IO6/IB6-1)*100</f>
        <v>7.1627380702336874</v>
      </c>
      <c r="IP7" s="505">
        <f t="shared" si="50"/>
        <v>6.551429347393789</v>
      </c>
      <c r="IQ7" s="505">
        <f t="shared" si="50"/>
        <v>11.019685005834813</v>
      </c>
      <c r="IR7" s="505">
        <f t="shared" si="50"/>
        <v>11.776763359813147</v>
      </c>
      <c r="IS7" s="505">
        <f t="shared" si="50"/>
        <v>13.835073355808403</v>
      </c>
      <c r="IT7" s="505">
        <f t="shared" si="50"/>
        <v>9.5048143053645173</v>
      </c>
      <c r="IU7" s="505">
        <f t="shared" si="50"/>
        <v>9.4886679170552277</v>
      </c>
      <c r="IV7" s="505">
        <f t="shared" si="50"/>
        <v>13.218003510700038</v>
      </c>
      <c r="IW7" s="505">
        <f t="shared" si="50"/>
        <v>12.340825201614569</v>
      </c>
      <c r="IX7" s="505">
        <f t="shared" si="50"/>
        <v>10.557214866744413</v>
      </c>
      <c r="IY7" s="474">
        <f t="shared" ref="IY7:JE7" si="51">(IY6/IL6-1)*100</f>
        <v>9.9287486753876451</v>
      </c>
      <c r="IZ7" s="505">
        <f t="shared" si="51"/>
        <v>6.8394264607509525</v>
      </c>
      <c r="JA7" s="505">
        <f t="shared" si="51"/>
        <v>8.4893173351841646</v>
      </c>
      <c r="JB7" s="505">
        <f t="shared" si="51"/>
        <v>7.2314808550833387</v>
      </c>
      <c r="JC7" s="505">
        <f t="shared" si="51"/>
        <v>12.112740278239208</v>
      </c>
      <c r="JD7" s="505">
        <f t="shared" si="51"/>
        <v>10.508992143383256</v>
      </c>
      <c r="JE7" s="505">
        <f t="shared" si="51"/>
        <v>5.8879184253933348</v>
      </c>
      <c r="JF7" s="505">
        <f>(JF6/3139-1)*100</f>
        <v>7.709461611978341</v>
      </c>
      <c r="JG7" s="505">
        <f>(JG6/2723-1)*100</f>
        <v>4.6272493573264795</v>
      </c>
      <c r="JH7" s="505">
        <f>(JH6/3135-1)*100</f>
        <v>2.2966507177033524</v>
      </c>
      <c r="JI7" s="505">
        <f>(JI6/3222-1)*100</f>
        <v>10.086902545003106</v>
      </c>
      <c r="JJ7" s="505">
        <f>(JJ6/3280-1)*100</f>
        <v>4.0853658536585291</v>
      </c>
      <c r="JK7" s="505">
        <f>(JK6/3090-1)*100</f>
        <v>2.7831715210355989</v>
      </c>
      <c r="JL7" s="513">
        <f>(JL6/36205-1)*100</f>
        <v>6.8443585140173901</v>
      </c>
      <c r="JM7" s="505">
        <f>(JM6/2755-1)*100</f>
        <v>0</v>
      </c>
      <c r="JN7" s="569">
        <f>(JN6/3179-1)*100</f>
        <v>-1.9188424032714702</v>
      </c>
    </row>
    <row r="8" spans="1:274" ht="13.5" customHeight="1" x14ac:dyDescent="0.3">
      <c r="A8" s="542" t="s">
        <v>131</v>
      </c>
      <c r="B8" s="64" t="s">
        <v>103</v>
      </c>
      <c r="C8" s="59">
        <v>4234</v>
      </c>
      <c r="D8" s="25">
        <v>4003</v>
      </c>
      <c r="E8" s="26">
        <v>3716</v>
      </c>
      <c r="F8" s="25">
        <v>3289</v>
      </c>
      <c r="G8" s="26">
        <v>3586</v>
      </c>
      <c r="H8" s="25">
        <v>3482</v>
      </c>
      <c r="I8" s="26">
        <v>3364</v>
      </c>
      <c r="J8" s="25">
        <v>3037</v>
      </c>
      <c r="K8" s="26">
        <v>3428</v>
      </c>
      <c r="L8" s="25">
        <v>2993</v>
      </c>
      <c r="M8" s="139">
        <v>2883</v>
      </c>
      <c r="N8" s="66">
        <f>SUM(AA8:AL8)</f>
        <v>3309</v>
      </c>
      <c r="O8" s="26">
        <v>205</v>
      </c>
      <c r="P8" s="25">
        <v>234</v>
      </c>
      <c r="Q8" s="25">
        <v>243</v>
      </c>
      <c r="R8" s="25">
        <v>232</v>
      </c>
      <c r="S8" s="25">
        <v>211</v>
      </c>
      <c r="T8" s="25">
        <v>231</v>
      </c>
      <c r="U8" s="25">
        <v>233</v>
      </c>
      <c r="V8" s="25">
        <v>208</v>
      </c>
      <c r="W8" s="25">
        <v>236</v>
      </c>
      <c r="X8" s="25">
        <v>254</v>
      </c>
      <c r="Y8" s="25">
        <v>291</v>
      </c>
      <c r="Z8" s="25">
        <v>305</v>
      </c>
      <c r="AA8" s="26">
        <v>233</v>
      </c>
      <c r="AB8" s="26">
        <v>246</v>
      </c>
      <c r="AC8" s="26">
        <v>278</v>
      </c>
      <c r="AD8" s="26">
        <v>374</v>
      </c>
      <c r="AE8" s="26">
        <v>272</v>
      </c>
      <c r="AF8" s="26">
        <v>281</v>
      </c>
      <c r="AG8" s="26">
        <v>256</v>
      </c>
      <c r="AH8" s="26">
        <v>233</v>
      </c>
      <c r="AI8" s="26">
        <v>255</v>
      </c>
      <c r="AJ8" s="26">
        <v>276</v>
      </c>
      <c r="AK8" s="26">
        <v>313</v>
      </c>
      <c r="AL8" s="90">
        <v>292</v>
      </c>
      <c r="AM8" s="14">
        <f>SUM(AN8:AY8)</f>
        <v>2949</v>
      </c>
      <c r="AN8" s="119">
        <v>267</v>
      </c>
      <c r="AO8" s="26">
        <v>354</v>
      </c>
      <c r="AP8" s="90">
        <v>265</v>
      </c>
      <c r="AQ8" s="29">
        <v>251</v>
      </c>
      <c r="AR8" s="29">
        <v>240</v>
      </c>
      <c r="AS8" s="28">
        <v>254</v>
      </c>
      <c r="AT8" s="29">
        <v>235</v>
      </c>
      <c r="AU8" s="28">
        <v>211</v>
      </c>
      <c r="AV8" s="29">
        <v>222</v>
      </c>
      <c r="AW8" s="28">
        <v>231</v>
      </c>
      <c r="AX8" s="29">
        <v>214</v>
      </c>
      <c r="AY8" s="100">
        <v>205</v>
      </c>
      <c r="AZ8" s="138">
        <f>SUM(BA8:BL8)</f>
        <v>2704</v>
      </c>
      <c r="BA8" s="59">
        <v>236</v>
      </c>
      <c r="BB8" s="26">
        <v>213</v>
      </c>
      <c r="BC8" s="26">
        <v>219</v>
      </c>
      <c r="BD8" s="26">
        <v>221</v>
      </c>
      <c r="BE8" s="26">
        <v>213</v>
      </c>
      <c r="BF8" s="26">
        <v>218</v>
      </c>
      <c r="BG8" s="26">
        <v>236</v>
      </c>
      <c r="BH8" s="26">
        <v>203</v>
      </c>
      <c r="BI8" s="26">
        <v>232</v>
      </c>
      <c r="BJ8" s="26">
        <v>243</v>
      </c>
      <c r="BK8" s="26">
        <v>236</v>
      </c>
      <c r="BL8" s="26">
        <v>234</v>
      </c>
      <c r="BM8" s="26">
        <v>300</v>
      </c>
      <c r="BN8" s="26">
        <v>233</v>
      </c>
      <c r="BO8" s="26">
        <v>237</v>
      </c>
      <c r="BP8" s="26">
        <v>217</v>
      </c>
      <c r="BQ8" s="26">
        <v>210</v>
      </c>
      <c r="BR8" s="26">
        <v>214</v>
      </c>
      <c r="BS8" s="26">
        <v>250</v>
      </c>
      <c r="BT8" s="26">
        <v>220</v>
      </c>
      <c r="BU8" s="26">
        <v>252</v>
      </c>
      <c r="BV8" s="26">
        <v>262</v>
      </c>
      <c r="BW8" s="26">
        <v>245</v>
      </c>
      <c r="BX8" s="26">
        <v>261</v>
      </c>
      <c r="BY8" s="110">
        <f>SUM(BM8:BX8)</f>
        <v>2901</v>
      </c>
      <c r="BZ8" s="26">
        <v>244</v>
      </c>
      <c r="CA8" s="26">
        <v>265</v>
      </c>
      <c r="CB8" s="26">
        <v>289</v>
      </c>
      <c r="CC8" s="26">
        <v>283</v>
      </c>
      <c r="CD8" s="147">
        <v>253</v>
      </c>
      <c r="CE8" s="155">
        <v>301</v>
      </c>
      <c r="CF8" s="155">
        <v>260</v>
      </c>
      <c r="CG8" s="155">
        <v>245</v>
      </c>
      <c r="CH8" s="155">
        <v>279</v>
      </c>
      <c r="CI8" s="155">
        <v>277</v>
      </c>
      <c r="CJ8" s="261">
        <v>285.96699999999998</v>
      </c>
      <c r="CK8" s="371">
        <v>288</v>
      </c>
      <c r="CL8" s="102">
        <f>SUM(BZ8:CK8)</f>
        <v>3269.9670000000001</v>
      </c>
      <c r="CM8" s="285">
        <v>263</v>
      </c>
      <c r="CN8" s="286">
        <v>287</v>
      </c>
      <c r="CO8" s="286">
        <v>320</v>
      </c>
      <c r="CP8" s="323">
        <v>306</v>
      </c>
      <c r="CQ8" s="323">
        <v>272</v>
      </c>
      <c r="CR8" s="323">
        <v>318</v>
      </c>
      <c r="CS8" s="323">
        <v>282</v>
      </c>
      <c r="CT8" s="323">
        <v>255</v>
      </c>
      <c r="CU8" s="323">
        <v>275</v>
      </c>
      <c r="CV8" s="323">
        <v>279</v>
      </c>
      <c r="CW8" s="323">
        <v>306</v>
      </c>
      <c r="CX8" s="313">
        <v>273</v>
      </c>
      <c r="CY8" s="102">
        <f>SUM(CM8:CX8)</f>
        <v>3436</v>
      </c>
      <c r="CZ8" s="323">
        <v>226</v>
      </c>
      <c r="DA8" s="323">
        <v>255</v>
      </c>
      <c r="DB8" s="323">
        <v>288</v>
      </c>
      <c r="DC8" s="323">
        <v>258</v>
      </c>
      <c r="DD8" s="323">
        <v>237</v>
      </c>
      <c r="DE8" s="323">
        <v>302</v>
      </c>
      <c r="DF8" s="323">
        <v>249</v>
      </c>
      <c r="DG8" s="323">
        <v>225</v>
      </c>
      <c r="DH8" s="323">
        <v>291</v>
      </c>
      <c r="DI8" s="323">
        <v>260</v>
      </c>
      <c r="DJ8" s="323">
        <v>260</v>
      </c>
      <c r="DK8" s="323">
        <v>252</v>
      </c>
      <c r="DL8" s="102">
        <f>SUM(CZ8:DK8)</f>
        <v>3103</v>
      </c>
      <c r="DM8" s="323">
        <v>219</v>
      </c>
      <c r="DN8" s="323">
        <v>256</v>
      </c>
      <c r="DO8" s="323">
        <v>251</v>
      </c>
      <c r="DP8" s="323">
        <v>239</v>
      </c>
      <c r="DQ8" s="323">
        <v>219</v>
      </c>
      <c r="DR8" s="323">
        <v>240</v>
      </c>
      <c r="DS8" s="323">
        <v>274</v>
      </c>
      <c r="DT8" s="323">
        <v>203</v>
      </c>
      <c r="DU8" s="323">
        <v>232</v>
      </c>
      <c r="DV8" s="323">
        <v>256</v>
      </c>
      <c r="DW8" s="323">
        <v>242</v>
      </c>
      <c r="DX8" s="286">
        <v>232</v>
      </c>
      <c r="DY8" s="306">
        <f>SUM(DM8:DX8)</f>
        <v>2863</v>
      </c>
      <c r="DZ8" s="319">
        <v>233</v>
      </c>
      <c r="EA8" s="319">
        <v>272</v>
      </c>
      <c r="EB8" s="319">
        <v>271</v>
      </c>
      <c r="EC8" s="319">
        <v>272</v>
      </c>
      <c r="ED8" s="319">
        <v>255</v>
      </c>
      <c r="EE8" s="319">
        <v>283</v>
      </c>
      <c r="EF8" s="319">
        <v>287</v>
      </c>
      <c r="EG8" s="319">
        <v>225</v>
      </c>
      <c r="EH8" s="319">
        <v>277</v>
      </c>
      <c r="EI8" s="319">
        <v>272</v>
      </c>
      <c r="EJ8" s="319">
        <v>233</v>
      </c>
      <c r="EK8" s="319">
        <v>167</v>
      </c>
      <c r="EL8" s="306">
        <f>SUM(DZ8:EK8)</f>
        <v>3047</v>
      </c>
      <c r="EM8" s="319">
        <v>128</v>
      </c>
      <c r="EN8" s="319">
        <v>117</v>
      </c>
      <c r="EO8" s="319">
        <v>118</v>
      </c>
      <c r="EP8" s="319">
        <v>119.93899999999999</v>
      </c>
      <c r="EQ8" s="319">
        <v>111.178</v>
      </c>
      <c r="ER8" s="319">
        <v>139.94</v>
      </c>
      <c r="ES8" s="319">
        <v>144.74799999999999</v>
      </c>
      <c r="ET8" s="319">
        <v>127.31399999999999</v>
      </c>
      <c r="EU8" s="319">
        <v>143.47399999999999</v>
      </c>
      <c r="EV8" s="319">
        <v>158.32499999999999</v>
      </c>
      <c r="EW8" s="319">
        <v>167.96799999999999</v>
      </c>
      <c r="EX8" s="319">
        <v>166.22499999999999</v>
      </c>
      <c r="EY8" s="306">
        <f>SUM(EM8:EX8)</f>
        <v>1642.1110000000001</v>
      </c>
      <c r="EZ8" s="319">
        <v>155.28</v>
      </c>
      <c r="FA8" s="319">
        <v>172.876</v>
      </c>
      <c r="FB8" s="319">
        <v>192.751</v>
      </c>
      <c r="FC8" s="319">
        <v>177.13499999999999</v>
      </c>
      <c r="FD8" s="319">
        <v>160.71199999999999</v>
      </c>
      <c r="FE8" s="319">
        <v>193.79599999999999</v>
      </c>
      <c r="FF8" s="319">
        <v>191.065</v>
      </c>
      <c r="FG8" s="319">
        <v>163.46199999999999</v>
      </c>
      <c r="FH8" s="319">
        <v>196.334</v>
      </c>
      <c r="FI8" s="319">
        <v>199.05799999999999</v>
      </c>
      <c r="FJ8" s="319">
        <v>197.54900000000001</v>
      </c>
      <c r="FK8" s="319">
        <v>191.72900000000001</v>
      </c>
      <c r="FL8" s="306">
        <f>SUM(EZ8:FK8)</f>
        <v>2191.7469999999998</v>
      </c>
      <c r="FM8" s="319">
        <v>175.96</v>
      </c>
      <c r="FN8" s="319">
        <v>192.696</v>
      </c>
      <c r="FO8" s="319">
        <v>203.446</v>
      </c>
      <c r="FP8" s="319">
        <v>188.80099999999999</v>
      </c>
      <c r="FQ8" s="319">
        <v>166.71199999999999</v>
      </c>
      <c r="FR8" s="319">
        <v>195.54300000000001</v>
      </c>
      <c r="FS8" s="319">
        <v>191.74</v>
      </c>
      <c r="FT8" s="319">
        <v>182.50899999999999</v>
      </c>
      <c r="FU8" s="319">
        <v>200.53200000000001</v>
      </c>
      <c r="FV8" s="319">
        <v>248.01499999999999</v>
      </c>
      <c r="FW8" s="319">
        <v>205.304</v>
      </c>
      <c r="FX8" s="319">
        <v>194.804</v>
      </c>
      <c r="FY8" s="306">
        <f>SUM(FM8:FX8)</f>
        <v>2346.0619999999999</v>
      </c>
      <c r="FZ8" s="319">
        <v>177.06800000000001</v>
      </c>
      <c r="GA8" s="319">
        <v>204.05199999999999</v>
      </c>
      <c r="GB8" s="319">
        <v>196.73099999999999</v>
      </c>
      <c r="GC8" s="319">
        <v>189.702</v>
      </c>
      <c r="GD8" s="319">
        <v>180.22300000000001</v>
      </c>
      <c r="GE8" s="319">
        <v>199.19900000000001</v>
      </c>
      <c r="GF8" s="319">
        <v>197.88800000000001</v>
      </c>
      <c r="GG8" s="319">
        <v>159.744</v>
      </c>
      <c r="GH8" s="319">
        <v>177.48400000000001</v>
      </c>
      <c r="GI8" s="319">
        <v>178.07900000000001</v>
      </c>
      <c r="GJ8" s="319">
        <v>164.34800000000001</v>
      </c>
      <c r="GK8" s="319">
        <v>154.78299999999999</v>
      </c>
      <c r="GL8" s="420">
        <f>SUM(FZ8:GK8)</f>
        <v>2179.3009999999999</v>
      </c>
      <c r="GM8" s="319">
        <v>137.65199999999999</v>
      </c>
      <c r="GN8" s="319">
        <v>217.82499999999999</v>
      </c>
      <c r="GO8" s="319">
        <v>172.07599999999999</v>
      </c>
      <c r="GP8" s="319">
        <v>182.893</v>
      </c>
      <c r="GQ8" s="319">
        <v>165.28700000000001</v>
      </c>
      <c r="GR8" s="319">
        <v>162.61500000000001</v>
      </c>
      <c r="GS8" s="319">
        <v>169.64699999999999</v>
      </c>
      <c r="GT8" s="319">
        <v>138.95099999999999</v>
      </c>
      <c r="GU8" s="319">
        <v>166.40899999999999</v>
      </c>
      <c r="GV8" s="319">
        <v>180.19300000000001</v>
      </c>
      <c r="GW8" s="319">
        <v>175.30199999999999</v>
      </c>
      <c r="GX8" s="319">
        <v>166.73400000000001</v>
      </c>
      <c r="GY8" s="420">
        <f>SUM(GM8:GX8)</f>
        <v>2035.5839999999998</v>
      </c>
      <c r="GZ8" s="319">
        <v>156.53399999999999</v>
      </c>
      <c r="HA8" s="319">
        <v>172.107</v>
      </c>
      <c r="HB8" s="319">
        <v>183.99700000000001</v>
      </c>
      <c r="HC8" s="319">
        <v>168.136</v>
      </c>
      <c r="HD8" s="319">
        <v>153.22499999999999</v>
      </c>
      <c r="HE8" s="319">
        <v>176.83500000000001</v>
      </c>
      <c r="HF8" s="319">
        <v>176.52500000000001</v>
      </c>
      <c r="HG8" s="319">
        <v>135.35900000000001</v>
      </c>
      <c r="HH8" s="319">
        <v>183.64699999999999</v>
      </c>
      <c r="HI8" s="319">
        <v>171.78</v>
      </c>
      <c r="HJ8" s="319">
        <v>226.10400000000001</v>
      </c>
      <c r="HK8" s="319">
        <v>157.98099999999999</v>
      </c>
      <c r="HL8" s="420">
        <f>SUM(GZ8:HK8)</f>
        <v>2062.2299999999996</v>
      </c>
      <c r="HM8" s="319">
        <v>150.036</v>
      </c>
      <c r="HN8" s="285">
        <v>157.62700000000001</v>
      </c>
      <c r="HO8" s="306">
        <v>168.732</v>
      </c>
      <c r="HP8" s="425">
        <v>171.792</v>
      </c>
      <c r="HQ8" s="432">
        <v>142.458</v>
      </c>
      <c r="HR8" s="432">
        <v>169.81299999999999</v>
      </c>
      <c r="HS8" s="432">
        <v>158.99799999999999</v>
      </c>
      <c r="HT8" s="432">
        <v>135.81100000000001</v>
      </c>
      <c r="HU8" s="432">
        <v>158.87299999999999</v>
      </c>
      <c r="HV8" s="432">
        <v>161.89400000000001</v>
      </c>
      <c r="HW8" s="432">
        <v>158.44300000000001</v>
      </c>
      <c r="HX8" s="432">
        <v>142.73099999999999</v>
      </c>
      <c r="HY8" s="473">
        <f>SUM(HM8:HX8)</f>
        <v>1877.2079999999999</v>
      </c>
      <c r="HZ8" s="467">
        <v>134009</v>
      </c>
      <c r="IA8" s="467">
        <v>187323</v>
      </c>
      <c r="IB8" s="467">
        <v>171473</v>
      </c>
      <c r="IC8" s="467">
        <v>176275</v>
      </c>
      <c r="ID8" s="467">
        <v>139070</v>
      </c>
      <c r="IE8" s="467">
        <v>163992</v>
      </c>
      <c r="IF8" s="467">
        <v>162783</v>
      </c>
      <c r="IG8" s="467">
        <v>142714</v>
      </c>
      <c r="IH8" s="467">
        <v>165556</v>
      </c>
      <c r="II8" s="467">
        <v>159479</v>
      </c>
      <c r="IJ8" s="467">
        <v>159226</v>
      </c>
      <c r="IK8" s="467">
        <v>157511</v>
      </c>
      <c r="IL8" s="468">
        <f>SUM(HZ8:IK8)</f>
        <v>1919411</v>
      </c>
      <c r="IM8" s="467">
        <v>135535</v>
      </c>
      <c r="IN8" s="467">
        <v>158290</v>
      </c>
      <c r="IO8" s="467">
        <v>190940</v>
      </c>
      <c r="IP8" s="467">
        <v>161050</v>
      </c>
      <c r="IQ8" s="467">
        <v>148051</v>
      </c>
      <c r="IR8" s="467">
        <v>176748</v>
      </c>
      <c r="IS8" s="467">
        <v>166446</v>
      </c>
      <c r="IT8" s="467">
        <v>143448</v>
      </c>
      <c r="IU8" s="467">
        <v>167389</v>
      </c>
      <c r="IV8" s="467">
        <v>175145</v>
      </c>
      <c r="IW8" s="467">
        <v>176438</v>
      </c>
      <c r="IX8" s="467">
        <v>173626</v>
      </c>
      <c r="IY8" s="468">
        <f>SUM(IM8:IX8)</f>
        <v>1973106</v>
      </c>
      <c r="IZ8" s="467">
        <v>143268</v>
      </c>
      <c r="JA8" s="467">
        <v>167530</v>
      </c>
      <c r="JB8" s="467">
        <v>193166</v>
      </c>
      <c r="JC8" s="467">
        <v>182322</v>
      </c>
      <c r="JD8" s="467">
        <v>164453</v>
      </c>
      <c r="JE8" s="467">
        <v>184578</v>
      </c>
      <c r="JF8" s="520">
        <v>188</v>
      </c>
      <c r="JG8" s="520">
        <v>159</v>
      </c>
      <c r="JH8" s="520">
        <v>178</v>
      </c>
      <c r="JI8" s="520">
        <v>189</v>
      </c>
      <c r="JJ8" s="520">
        <v>190</v>
      </c>
      <c r="JK8" s="520">
        <v>165</v>
      </c>
      <c r="JL8" s="525">
        <v>2104</v>
      </c>
      <c r="JM8" s="412">
        <v>141</v>
      </c>
      <c r="JN8" s="568">
        <v>190</v>
      </c>
    </row>
    <row r="9" spans="1:274" ht="13.5" customHeight="1" thickBot="1" x14ac:dyDescent="0.35">
      <c r="A9" s="551"/>
      <c r="B9" s="65" t="s">
        <v>102</v>
      </c>
      <c r="C9" s="67"/>
      <c r="D9" s="60">
        <f t="shared" ref="D9:M9" si="52">(D8/C8-1)*100</f>
        <v>-5.4558337269721253</v>
      </c>
      <c r="E9" s="60">
        <f t="shared" si="52"/>
        <v>-7.1696227829128105</v>
      </c>
      <c r="F9" s="60">
        <f t="shared" si="52"/>
        <v>-11.490850376749195</v>
      </c>
      <c r="G9" s="60">
        <f t="shared" si="52"/>
        <v>9.0301003344481536</v>
      </c>
      <c r="H9" s="60">
        <f t="shared" si="52"/>
        <v>-2.9001673173452369</v>
      </c>
      <c r="I9" s="60">
        <f t="shared" si="52"/>
        <v>-3.3888569787478451</v>
      </c>
      <c r="J9" s="60">
        <f t="shared" si="52"/>
        <v>-9.7205707491082034</v>
      </c>
      <c r="K9" s="60">
        <f t="shared" si="52"/>
        <v>12.874547250576217</v>
      </c>
      <c r="L9" s="60">
        <f t="shared" si="52"/>
        <v>-12.689614935822636</v>
      </c>
      <c r="M9" s="60">
        <f t="shared" si="52"/>
        <v>-3.675242231874376</v>
      </c>
      <c r="N9" s="60">
        <f>(N8/M8-1)*100</f>
        <v>14.776274713839754</v>
      </c>
      <c r="O9" s="61"/>
      <c r="P9" s="62"/>
      <c r="Q9" s="62"/>
      <c r="R9" s="62"/>
      <c r="S9" s="62"/>
      <c r="T9" s="62"/>
      <c r="U9" s="62"/>
      <c r="V9" s="62"/>
      <c r="W9" s="62"/>
      <c r="X9" s="62"/>
      <c r="Y9" s="62"/>
      <c r="Z9" s="63"/>
      <c r="AA9" s="60">
        <f t="shared" ref="AA9:AL9" si="53">(AA8/O8-1)*100</f>
        <v>13.658536585365844</v>
      </c>
      <c r="AB9" s="60">
        <f t="shared" si="53"/>
        <v>5.1282051282051322</v>
      </c>
      <c r="AC9" s="60">
        <f t="shared" si="53"/>
        <v>14.403292181069949</v>
      </c>
      <c r="AD9" s="60">
        <f t="shared" si="53"/>
        <v>61.206896551724135</v>
      </c>
      <c r="AE9" s="60">
        <f t="shared" si="53"/>
        <v>28.90995260663507</v>
      </c>
      <c r="AF9" s="60">
        <f t="shared" si="53"/>
        <v>21.645021645021643</v>
      </c>
      <c r="AG9" s="60">
        <f t="shared" si="53"/>
        <v>9.8712446351931327</v>
      </c>
      <c r="AH9" s="60">
        <f t="shared" si="53"/>
        <v>12.01923076923077</v>
      </c>
      <c r="AI9" s="60">
        <f t="shared" si="53"/>
        <v>8.0508474576271194</v>
      </c>
      <c r="AJ9" s="60">
        <f t="shared" si="53"/>
        <v>8.6614173228346516</v>
      </c>
      <c r="AK9" s="60">
        <f t="shared" si="53"/>
        <v>7.5601374570446689</v>
      </c>
      <c r="AL9" s="84">
        <f t="shared" si="53"/>
        <v>-4.2622950819672152</v>
      </c>
      <c r="AM9" s="60">
        <f>(AM8/N8-1)*100</f>
        <v>-10.879419764279241</v>
      </c>
      <c r="AN9" s="121">
        <f t="shared" ref="AN9:BL9" si="54">(AN8/AA8-1)*100</f>
        <v>14.592274678111593</v>
      </c>
      <c r="AO9" s="60">
        <f t="shared" si="54"/>
        <v>43.90243902439024</v>
      </c>
      <c r="AP9" s="84">
        <f t="shared" si="54"/>
        <v>-4.6762589928057601</v>
      </c>
      <c r="AQ9" s="60">
        <f t="shared" si="54"/>
        <v>-32.887700534759354</v>
      </c>
      <c r="AR9" s="60">
        <f t="shared" si="54"/>
        <v>-11.764705882352944</v>
      </c>
      <c r="AS9" s="82">
        <f t="shared" si="54"/>
        <v>-9.6085409252669063</v>
      </c>
      <c r="AT9" s="60">
        <f t="shared" si="54"/>
        <v>-8.203125</v>
      </c>
      <c r="AU9" s="82">
        <f t="shared" si="54"/>
        <v>-9.4420600858369124</v>
      </c>
      <c r="AV9" s="60">
        <f t="shared" si="54"/>
        <v>-12.941176470588234</v>
      </c>
      <c r="AW9" s="82">
        <f t="shared" si="54"/>
        <v>-16.30434782608695</v>
      </c>
      <c r="AX9" s="60">
        <f t="shared" si="54"/>
        <v>-31.629392971246006</v>
      </c>
      <c r="AY9" s="83">
        <f t="shared" si="54"/>
        <v>-29.794520547945204</v>
      </c>
      <c r="AZ9" s="127">
        <f t="shared" si="54"/>
        <v>-8.3079009833841972</v>
      </c>
      <c r="BA9" s="124">
        <f t="shared" si="54"/>
        <v>-11.610486891385763</v>
      </c>
      <c r="BB9" s="32">
        <f t="shared" si="54"/>
        <v>-39.830508474576277</v>
      </c>
      <c r="BC9" s="32">
        <f t="shared" si="54"/>
        <v>-17.35849056603773</v>
      </c>
      <c r="BD9" s="32">
        <f t="shared" si="54"/>
        <v>-11.952191235059761</v>
      </c>
      <c r="BE9" s="32">
        <f t="shared" si="54"/>
        <v>-11.250000000000004</v>
      </c>
      <c r="BF9" s="32">
        <f t="shared" si="54"/>
        <v>-14.173228346456689</v>
      </c>
      <c r="BG9" s="32">
        <f t="shared" si="54"/>
        <v>0.42553191489360653</v>
      </c>
      <c r="BH9" s="32">
        <f t="shared" si="54"/>
        <v>-3.7914691943127909</v>
      </c>
      <c r="BI9" s="32">
        <f t="shared" si="54"/>
        <v>4.5045045045045029</v>
      </c>
      <c r="BJ9" s="32">
        <f t="shared" si="54"/>
        <v>5.1948051948051965</v>
      </c>
      <c r="BK9" s="32">
        <f t="shared" si="54"/>
        <v>10.280373831775691</v>
      </c>
      <c r="BL9" s="32">
        <f t="shared" si="54"/>
        <v>14.146341463414625</v>
      </c>
      <c r="BM9" s="32">
        <f t="shared" ref="BM9:BX9" si="55">(BM8/BA8-1)*100</f>
        <v>27.118644067796605</v>
      </c>
      <c r="BN9" s="32">
        <f t="shared" si="55"/>
        <v>9.3896713615023497</v>
      </c>
      <c r="BO9" s="32">
        <f t="shared" si="55"/>
        <v>8.2191780821917924</v>
      </c>
      <c r="BP9" s="32">
        <f t="shared" si="55"/>
        <v>-1.8099547511312264</v>
      </c>
      <c r="BQ9" s="32">
        <f t="shared" si="55"/>
        <v>-1.4084507042253502</v>
      </c>
      <c r="BR9" s="32">
        <f t="shared" si="55"/>
        <v>-1.834862385321101</v>
      </c>
      <c r="BS9" s="32">
        <f t="shared" si="55"/>
        <v>5.9322033898305149</v>
      </c>
      <c r="BT9" s="32">
        <f t="shared" si="55"/>
        <v>8.3743842364532028</v>
      </c>
      <c r="BU9" s="32">
        <f t="shared" si="55"/>
        <v>8.6206896551724199</v>
      </c>
      <c r="BV9" s="32">
        <f t="shared" si="55"/>
        <v>7.8189300411522611</v>
      </c>
      <c r="BW9" s="32">
        <f t="shared" si="55"/>
        <v>3.8135593220338881</v>
      </c>
      <c r="BX9" s="32">
        <f t="shared" si="55"/>
        <v>11.538461538461542</v>
      </c>
      <c r="BY9" s="127">
        <f>(BY8/AZ8-1)*100</f>
        <v>7.2855029585798814</v>
      </c>
      <c r="BZ9" s="32">
        <f t="shared" ref="BZ9:CK9" si="56">(BZ8/BM8-1)*100</f>
        <v>-18.666666666666664</v>
      </c>
      <c r="CA9" s="32">
        <f t="shared" si="56"/>
        <v>13.733905579399153</v>
      </c>
      <c r="CB9" s="32">
        <f t="shared" si="56"/>
        <v>21.940928270042193</v>
      </c>
      <c r="CC9" s="32">
        <f t="shared" si="56"/>
        <v>30.414746543778804</v>
      </c>
      <c r="CD9" s="32">
        <f t="shared" si="56"/>
        <v>20.476190476190471</v>
      </c>
      <c r="CE9" s="89">
        <f t="shared" si="56"/>
        <v>40.654205607476634</v>
      </c>
      <c r="CF9" s="89">
        <f t="shared" si="56"/>
        <v>4.0000000000000036</v>
      </c>
      <c r="CG9" s="89">
        <f t="shared" si="56"/>
        <v>11.363636363636353</v>
      </c>
      <c r="CH9" s="89">
        <f t="shared" si="56"/>
        <v>10.714285714285721</v>
      </c>
      <c r="CI9" s="89">
        <f t="shared" si="56"/>
        <v>5.7251908396946494</v>
      </c>
      <c r="CJ9" s="258">
        <f t="shared" si="56"/>
        <v>16.721224489795915</v>
      </c>
      <c r="CK9" s="368">
        <f t="shared" si="56"/>
        <v>10.344827586206895</v>
      </c>
      <c r="CL9" s="83">
        <f t="shared" ref="CL9:EL9" si="57">(CL8/BY8-1)*100</f>
        <v>12.718614270941053</v>
      </c>
      <c r="CM9" s="303">
        <f t="shared" si="57"/>
        <v>7.7868852459016313</v>
      </c>
      <c r="CN9" s="304">
        <f t="shared" si="57"/>
        <v>8.3018867924528283</v>
      </c>
      <c r="CO9" s="304">
        <f t="shared" si="57"/>
        <v>10.726643598615926</v>
      </c>
      <c r="CP9" s="379">
        <f t="shared" si="57"/>
        <v>8.1272084805653613</v>
      </c>
      <c r="CQ9" s="379">
        <f t="shared" si="57"/>
        <v>7.5098814229249022</v>
      </c>
      <c r="CR9" s="379">
        <f t="shared" si="57"/>
        <v>5.6478405315614655</v>
      </c>
      <c r="CS9" s="379">
        <f t="shared" si="57"/>
        <v>8.4615384615384528</v>
      </c>
      <c r="CT9" s="379">
        <f t="shared" si="57"/>
        <v>4.081632653061229</v>
      </c>
      <c r="CU9" s="379">
        <f t="shared" si="57"/>
        <v>-1.4336917562724039</v>
      </c>
      <c r="CV9" s="379">
        <f t="shared" si="57"/>
        <v>0.72202166064982976</v>
      </c>
      <c r="CW9" s="379">
        <f t="shared" si="57"/>
        <v>7.0053537645952124</v>
      </c>
      <c r="CX9" s="375">
        <f t="shared" si="57"/>
        <v>-5.2083333333333375</v>
      </c>
      <c r="CY9" s="83">
        <f t="shared" si="57"/>
        <v>5.0775130146573311</v>
      </c>
      <c r="CZ9" s="379">
        <f t="shared" si="57"/>
        <v>-14.068441064638781</v>
      </c>
      <c r="DA9" s="379">
        <f t="shared" si="57"/>
        <v>-11.149825783972123</v>
      </c>
      <c r="DB9" s="379">
        <f t="shared" si="57"/>
        <v>-9.9999999999999982</v>
      </c>
      <c r="DC9" s="379">
        <f t="shared" si="57"/>
        <v>-15.686274509803921</v>
      </c>
      <c r="DD9" s="379">
        <f t="shared" si="57"/>
        <v>-12.867647058823529</v>
      </c>
      <c r="DE9" s="379">
        <f t="shared" si="57"/>
        <v>-5.031446540880502</v>
      </c>
      <c r="DF9" s="379">
        <f t="shared" si="57"/>
        <v>-11.702127659574469</v>
      </c>
      <c r="DG9" s="379">
        <f t="shared" si="57"/>
        <v>-11.764705882352944</v>
      </c>
      <c r="DH9" s="379">
        <f t="shared" si="57"/>
        <v>5.8181818181818112</v>
      </c>
      <c r="DI9" s="379">
        <f t="shared" si="57"/>
        <v>-6.8100358422939049</v>
      </c>
      <c r="DJ9" s="379">
        <f t="shared" si="57"/>
        <v>-15.032679738562093</v>
      </c>
      <c r="DK9" s="379">
        <f t="shared" si="57"/>
        <v>-7.6923076923076872</v>
      </c>
      <c r="DL9" s="83">
        <f t="shared" si="57"/>
        <v>-9.6915017462165345</v>
      </c>
      <c r="DM9" s="379">
        <f t="shared" si="57"/>
        <v>-3.0973451327433676</v>
      </c>
      <c r="DN9" s="379">
        <f t="shared" si="57"/>
        <v>0.39215686274509665</v>
      </c>
      <c r="DO9" s="379">
        <f t="shared" si="57"/>
        <v>-12.847222222222221</v>
      </c>
      <c r="DP9" s="379">
        <f t="shared" si="57"/>
        <v>-7.3643410852713203</v>
      </c>
      <c r="DQ9" s="379">
        <f t="shared" si="57"/>
        <v>-7.5949367088607556</v>
      </c>
      <c r="DR9" s="379">
        <f t="shared" si="57"/>
        <v>-20.529801324503318</v>
      </c>
      <c r="DS9" s="379">
        <f t="shared" si="57"/>
        <v>10.040160642570273</v>
      </c>
      <c r="DT9" s="379">
        <f t="shared" si="57"/>
        <v>-9.777777777777775</v>
      </c>
      <c r="DU9" s="379">
        <f t="shared" si="57"/>
        <v>-20.274914089347075</v>
      </c>
      <c r="DV9" s="379">
        <f t="shared" si="57"/>
        <v>-1.538461538461533</v>
      </c>
      <c r="DW9" s="379">
        <f t="shared" si="57"/>
        <v>-6.9230769230769207</v>
      </c>
      <c r="DX9" s="304">
        <f t="shared" si="57"/>
        <v>-7.9365079365079421</v>
      </c>
      <c r="DY9" s="394">
        <f t="shared" si="57"/>
        <v>-7.7344505317434749</v>
      </c>
      <c r="DZ9" s="398">
        <f t="shared" si="57"/>
        <v>6.3926940639269514</v>
      </c>
      <c r="EA9" s="398">
        <f t="shared" si="57"/>
        <v>6.25</v>
      </c>
      <c r="EB9" s="398">
        <f t="shared" si="57"/>
        <v>7.9681274900398336</v>
      </c>
      <c r="EC9" s="398">
        <f t="shared" si="57"/>
        <v>13.807531380753147</v>
      </c>
      <c r="ED9" s="398">
        <f t="shared" si="57"/>
        <v>16.43835616438356</v>
      </c>
      <c r="EE9" s="398">
        <f t="shared" si="57"/>
        <v>17.916666666666671</v>
      </c>
      <c r="EF9" s="398">
        <f t="shared" si="57"/>
        <v>4.7445255474452663</v>
      </c>
      <c r="EG9" s="398">
        <f t="shared" si="57"/>
        <v>10.837438423645329</v>
      </c>
      <c r="EH9" s="398">
        <f t="shared" si="57"/>
        <v>19.396551724137922</v>
      </c>
      <c r="EI9" s="398">
        <f t="shared" si="57"/>
        <v>6.25</v>
      </c>
      <c r="EJ9" s="398">
        <f t="shared" si="57"/>
        <v>-3.7190082644628086</v>
      </c>
      <c r="EK9" s="398">
        <f t="shared" si="57"/>
        <v>-28.017241379310342</v>
      </c>
      <c r="EL9" s="394">
        <f t="shared" si="57"/>
        <v>6.4268250087321066</v>
      </c>
      <c r="EM9" s="398">
        <f t="shared" ref="EM9:EX9" si="58">(EM8/DZ8-1)*100</f>
        <v>-45.064377682403432</v>
      </c>
      <c r="EN9" s="398">
        <f t="shared" si="58"/>
        <v>-56.985294117647058</v>
      </c>
      <c r="EO9" s="398">
        <f t="shared" si="58"/>
        <v>-56.457564575645755</v>
      </c>
      <c r="EP9" s="398">
        <f t="shared" si="58"/>
        <v>-55.904779411764707</v>
      </c>
      <c r="EQ9" s="398">
        <f t="shared" si="58"/>
        <v>-56.400784313725495</v>
      </c>
      <c r="ER9" s="398">
        <f t="shared" si="58"/>
        <v>-50.551236749116612</v>
      </c>
      <c r="ES9" s="398">
        <f t="shared" si="58"/>
        <v>-49.565156794425093</v>
      </c>
      <c r="ET9" s="398">
        <f t="shared" si="58"/>
        <v>-43.415999999999997</v>
      </c>
      <c r="EU9" s="398">
        <f t="shared" si="58"/>
        <v>-48.204332129963902</v>
      </c>
      <c r="EV9" s="398">
        <f t="shared" si="58"/>
        <v>-41.79227941176471</v>
      </c>
      <c r="EW9" s="398">
        <f t="shared" si="58"/>
        <v>-27.91072961373391</v>
      </c>
      <c r="EX9" s="398">
        <f t="shared" si="58"/>
        <v>-0.46407185628742909</v>
      </c>
      <c r="EY9" s="394">
        <f t="shared" ref="EY9:FX9" si="59">(EY8/EL8-1)*100</f>
        <v>-46.107285854939285</v>
      </c>
      <c r="EZ9" s="398">
        <f t="shared" si="59"/>
        <v>21.3125</v>
      </c>
      <c r="FA9" s="398">
        <f t="shared" si="59"/>
        <v>47.757264957264958</v>
      </c>
      <c r="FB9" s="398">
        <f t="shared" si="59"/>
        <v>63.34830508474576</v>
      </c>
      <c r="FC9" s="398">
        <f t="shared" si="59"/>
        <v>47.687574517046173</v>
      </c>
      <c r="FD9" s="398">
        <f t="shared" si="59"/>
        <v>44.55377862526759</v>
      </c>
      <c r="FE9" s="398">
        <f t="shared" si="59"/>
        <v>38.485065027869084</v>
      </c>
      <c r="FF9" s="398">
        <f t="shared" si="59"/>
        <v>31.998369580236009</v>
      </c>
      <c r="FG9" s="398">
        <f t="shared" si="59"/>
        <v>28.392792622963704</v>
      </c>
      <c r="FH9" s="398">
        <f t="shared" si="59"/>
        <v>36.842912304668452</v>
      </c>
      <c r="FI9" s="398">
        <f t="shared" si="59"/>
        <v>25.727459339965275</v>
      </c>
      <c r="FJ9" s="398">
        <f t="shared" si="59"/>
        <v>17.61109258906459</v>
      </c>
      <c r="FK9" s="398">
        <f t="shared" si="59"/>
        <v>15.343059106632584</v>
      </c>
      <c r="FL9" s="394">
        <f t="shared" si="59"/>
        <v>33.471306141911228</v>
      </c>
      <c r="FM9" s="398">
        <f t="shared" si="59"/>
        <v>13.317877382792375</v>
      </c>
      <c r="FN9" s="398">
        <f t="shared" si="59"/>
        <v>11.464864989934975</v>
      </c>
      <c r="FO9" s="398">
        <f t="shared" si="59"/>
        <v>5.5486093457361996</v>
      </c>
      <c r="FP9" s="398">
        <f t="shared" si="59"/>
        <v>6.5859372794760951</v>
      </c>
      <c r="FQ9" s="398">
        <f t="shared" si="59"/>
        <v>3.7333864303847886</v>
      </c>
      <c r="FR9" s="398">
        <f t="shared" si="59"/>
        <v>0.90146339449730384</v>
      </c>
      <c r="FS9" s="398">
        <f t="shared" si="59"/>
        <v>0.35328291419152169</v>
      </c>
      <c r="FT9" s="398">
        <f t="shared" si="59"/>
        <v>11.652249452472141</v>
      </c>
      <c r="FU9" s="398">
        <f t="shared" si="59"/>
        <v>2.1381930791406489</v>
      </c>
      <c r="FV9" s="398">
        <f t="shared" si="59"/>
        <v>24.594339338283323</v>
      </c>
      <c r="FW9" s="398">
        <f t="shared" si="59"/>
        <v>3.9256083300851952</v>
      </c>
      <c r="FX9" s="398">
        <f t="shared" si="59"/>
        <v>1.6038262339030496</v>
      </c>
      <c r="FY9" s="394">
        <f t="shared" ref="FY9:GH9" si="60">(FY8/FL8-1)*100</f>
        <v>7.0407305222728755</v>
      </c>
      <c r="FZ9" s="398">
        <f t="shared" si="60"/>
        <v>0.62968856558309749</v>
      </c>
      <c r="GA9" s="398">
        <f t="shared" si="60"/>
        <v>5.8932204093494311</v>
      </c>
      <c r="GB9" s="398">
        <f t="shared" si="60"/>
        <v>-3.3006301426422802</v>
      </c>
      <c r="GC9" s="398">
        <f t="shared" si="60"/>
        <v>0.47722204861204709</v>
      </c>
      <c r="GD9" s="398">
        <f t="shared" si="60"/>
        <v>8.10439560439562</v>
      </c>
      <c r="GE9" s="398">
        <f t="shared" si="60"/>
        <v>1.8696654955687508</v>
      </c>
      <c r="GF9" s="398">
        <f t="shared" si="60"/>
        <v>3.206425367685406</v>
      </c>
      <c r="GG9" s="398">
        <f t="shared" si="60"/>
        <v>-12.473357478261338</v>
      </c>
      <c r="GH9" s="398">
        <f t="shared" si="60"/>
        <v>-11.493427482895502</v>
      </c>
      <c r="GI9" s="398">
        <f>(GI8/FU8-1)*100</f>
        <v>-11.19671673348892</v>
      </c>
      <c r="GJ9" s="398">
        <f>(GJ8/FV8-1)*100</f>
        <v>-33.734653145979067</v>
      </c>
      <c r="GK9" s="398">
        <f>(GK8/FW8-1)*100</f>
        <v>-24.60789853095897</v>
      </c>
      <c r="GL9" s="419">
        <f t="shared" ref="GL9:HY9" si="61">(GL8/FY8-1)*100</f>
        <v>-7.1081241672214972</v>
      </c>
      <c r="GM9" s="398">
        <f t="shared" si="61"/>
        <v>-22.260374545372407</v>
      </c>
      <c r="GN9" s="398">
        <f t="shared" si="61"/>
        <v>6.7497500637092589</v>
      </c>
      <c r="GO9" s="398">
        <f t="shared" si="61"/>
        <v>-12.532341115533397</v>
      </c>
      <c r="GP9" s="398">
        <f t="shared" si="61"/>
        <v>-3.5893137658010943</v>
      </c>
      <c r="GQ9" s="398">
        <f t="shared" si="61"/>
        <v>-8.2875104731360612</v>
      </c>
      <c r="GR9" s="398">
        <f t="shared" si="61"/>
        <v>-18.365554043946009</v>
      </c>
      <c r="GS9" s="398">
        <f t="shared" si="61"/>
        <v>-14.271203913324715</v>
      </c>
      <c r="GT9" s="398">
        <f t="shared" si="61"/>
        <v>-13.016451322115385</v>
      </c>
      <c r="GU9" s="398">
        <f t="shared" si="61"/>
        <v>-6.239999098510296</v>
      </c>
      <c r="GV9" s="398">
        <f t="shared" si="61"/>
        <v>1.1871135844204073</v>
      </c>
      <c r="GW9" s="398">
        <f t="shared" si="61"/>
        <v>6.6651252220897073</v>
      </c>
      <c r="GX9" s="398">
        <f t="shared" si="61"/>
        <v>7.7211321656771137</v>
      </c>
      <c r="GY9" s="419">
        <f t="shared" si="61"/>
        <v>-6.5946374548536468</v>
      </c>
      <c r="GZ9" s="398">
        <f t="shared" si="61"/>
        <v>13.717199895388376</v>
      </c>
      <c r="HA9" s="398">
        <f t="shared" si="61"/>
        <v>-20.98840812578905</v>
      </c>
      <c r="HB9" s="398">
        <f t="shared" si="61"/>
        <v>6.9277528533903787</v>
      </c>
      <c r="HC9" s="398">
        <f t="shared" si="61"/>
        <v>-8.0686521627399639</v>
      </c>
      <c r="HD9" s="398">
        <f t="shared" si="61"/>
        <v>-7.2976096123712146</v>
      </c>
      <c r="HE9" s="398">
        <f t="shared" si="61"/>
        <v>8.7445807582326331</v>
      </c>
      <c r="HF9" s="398">
        <f t="shared" si="61"/>
        <v>4.0543009897021642</v>
      </c>
      <c r="HG9" s="398">
        <f t="shared" si="61"/>
        <v>-2.5850839504573453</v>
      </c>
      <c r="HH9" s="398">
        <f t="shared" si="61"/>
        <v>10.358814727568832</v>
      </c>
      <c r="HI9" s="398">
        <f t="shared" si="61"/>
        <v>-4.6688828089881511</v>
      </c>
      <c r="HJ9" s="398">
        <f t="shared" si="61"/>
        <v>28.979703597220819</v>
      </c>
      <c r="HK9" s="398">
        <f t="shared" si="61"/>
        <v>-5.2496791296316347</v>
      </c>
      <c r="HL9" s="419">
        <f t="shared" si="61"/>
        <v>1.3090100924353809</v>
      </c>
      <c r="HM9" s="398">
        <f t="shared" si="61"/>
        <v>-4.1511748246387263</v>
      </c>
      <c r="HN9" s="303">
        <f t="shared" si="61"/>
        <v>-8.4133707519159486</v>
      </c>
      <c r="HO9" s="424">
        <f t="shared" si="61"/>
        <v>-8.2963309184388994</v>
      </c>
      <c r="HP9" s="303">
        <f t="shared" si="61"/>
        <v>2.1744302231526902</v>
      </c>
      <c r="HQ9" s="424">
        <f t="shared" si="61"/>
        <v>-7.0269211943220782</v>
      </c>
      <c r="HR9" s="424">
        <f t="shared" si="61"/>
        <v>-3.9709333559532989</v>
      </c>
      <c r="HS9" s="424">
        <f t="shared" si="61"/>
        <v>-9.9289052542132943</v>
      </c>
      <c r="HT9" s="424">
        <f t="shared" si="61"/>
        <v>0.33392681683523939</v>
      </c>
      <c r="HU9" s="424">
        <f t="shared" si="61"/>
        <v>-13.490010727101453</v>
      </c>
      <c r="HV9" s="424">
        <f t="shared" si="61"/>
        <v>-5.7550355105367323</v>
      </c>
      <c r="HW9" s="424">
        <f t="shared" si="61"/>
        <v>-29.924724905353283</v>
      </c>
      <c r="HX9" s="424">
        <f t="shared" si="61"/>
        <v>-9.6530595451351786</v>
      </c>
      <c r="HY9" s="474">
        <f t="shared" si="61"/>
        <v>-8.9719381446298314</v>
      </c>
      <c r="HZ9" s="424">
        <f>(134/150-1)*100</f>
        <v>-10.666666666666668</v>
      </c>
      <c r="IA9" s="424">
        <f>(187/158-1)*100</f>
        <v>18.354430379746844</v>
      </c>
      <c r="IB9" s="424">
        <f>(171/169-1)*100</f>
        <v>1.1834319526627279</v>
      </c>
      <c r="IC9" s="424">
        <f>(176/172-1)*100</f>
        <v>2.3255813953488413</v>
      </c>
      <c r="ID9" s="424">
        <f>(139/142-1)*100</f>
        <v>-2.1126760563380254</v>
      </c>
      <c r="IE9" s="424">
        <f>(164/170-1)*100</f>
        <v>-3.5294117647058809</v>
      </c>
      <c r="IF9" s="424">
        <f>(163/159-1)*100</f>
        <v>2.515723270440251</v>
      </c>
      <c r="IG9" s="424">
        <f>(143/136-1)*100</f>
        <v>5.1470588235294157</v>
      </c>
      <c r="IH9" s="424">
        <f>(166/159-1)*100</f>
        <v>4.4025157232704393</v>
      </c>
      <c r="II9" s="424">
        <f>(159/162-1)*100</f>
        <v>-1.851851851851849</v>
      </c>
      <c r="IJ9" s="424">
        <f>(159/158-1)*100</f>
        <v>0.63291139240506666</v>
      </c>
      <c r="IK9" s="424">
        <f>(158/143-1)*100</f>
        <v>10.489510489510479</v>
      </c>
      <c r="IL9" s="474">
        <f>(1919/1877-1)*100</f>
        <v>2.2376132125732529</v>
      </c>
      <c r="IM9" s="424">
        <f>(IM8/HZ8-1)*100</f>
        <v>1.1387294883179466</v>
      </c>
      <c r="IN9" s="505">
        <f>(IN8/IA8-1)*100</f>
        <v>-15.498897626025631</v>
      </c>
      <c r="IO9" s="505">
        <f t="shared" ref="IO9:IX9" si="62">(IO8/IB8-1)*100</f>
        <v>11.352807730663139</v>
      </c>
      <c r="IP9" s="505">
        <f t="shared" si="62"/>
        <v>-8.6370727556374973</v>
      </c>
      <c r="IQ9" s="505">
        <f t="shared" si="62"/>
        <v>6.4578988998346132</v>
      </c>
      <c r="IR9" s="505">
        <f t="shared" si="62"/>
        <v>7.7784282160105356</v>
      </c>
      <c r="IS9" s="505">
        <f t="shared" si="62"/>
        <v>2.2502349753966921</v>
      </c>
      <c r="IT9" s="505">
        <f t="shared" si="62"/>
        <v>0.51431534397465839</v>
      </c>
      <c r="IU9" s="505">
        <f t="shared" si="62"/>
        <v>1.1071782357631177</v>
      </c>
      <c r="IV9" s="505">
        <f t="shared" si="62"/>
        <v>9.8232369152051469</v>
      </c>
      <c r="IW9" s="505">
        <f t="shared" si="62"/>
        <v>10.809792370592742</v>
      </c>
      <c r="IX9" s="505">
        <f t="shared" si="62"/>
        <v>10.23103148351543</v>
      </c>
      <c r="IY9" s="474">
        <f t="shared" ref="IY9:JE9" si="63">(IY8/IL8-1)*100</f>
        <v>2.7974727663851118</v>
      </c>
      <c r="IZ9" s="505">
        <f t="shared" si="63"/>
        <v>5.7055373150846744</v>
      </c>
      <c r="JA9" s="505">
        <f t="shared" si="63"/>
        <v>5.8373870743571921</v>
      </c>
      <c r="JB9" s="505">
        <f t="shared" si="63"/>
        <v>1.165811249607196</v>
      </c>
      <c r="JC9" s="505">
        <f t="shared" si="63"/>
        <v>13.208320397392104</v>
      </c>
      <c r="JD9" s="505">
        <f t="shared" si="63"/>
        <v>11.078614801656194</v>
      </c>
      <c r="JE9" s="505">
        <f t="shared" si="63"/>
        <v>4.430035983434033</v>
      </c>
      <c r="JF9" s="505">
        <f>(JF8/166-1)*100</f>
        <v>13.25301204819278</v>
      </c>
      <c r="JG9" s="505">
        <f>(JG8/143-1)*100</f>
        <v>11.188811188811187</v>
      </c>
      <c r="JH9" s="505">
        <f>(JH8/167-1)*100</f>
        <v>6.5868263473053856</v>
      </c>
      <c r="JI9" s="505">
        <f>(JI8/175-1)*100</f>
        <v>8.0000000000000071</v>
      </c>
      <c r="JJ9" s="505">
        <f>(JJ8/176-1)*100</f>
        <v>7.9545454545454586</v>
      </c>
      <c r="JK9" s="505">
        <f>(JK8/174-1)*100</f>
        <v>-5.1724137931034475</v>
      </c>
      <c r="JL9" s="513">
        <f>(JL8/1973-1)*100</f>
        <v>6.639635073492145</v>
      </c>
      <c r="JM9" s="505">
        <f>(JM8/143-1)*100</f>
        <v>-1.3986013986013957</v>
      </c>
      <c r="JN9" s="569">
        <f>(JN8/168-1)*100</f>
        <v>13.095238095238093</v>
      </c>
    </row>
    <row r="10" spans="1:274" ht="13.5" customHeight="1" x14ac:dyDescent="0.3">
      <c r="A10" s="542" t="s">
        <v>132</v>
      </c>
      <c r="B10" s="64" t="s">
        <v>103</v>
      </c>
      <c r="C10" s="59">
        <v>35692</v>
      </c>
      <c r="D10" s="25">
        <v>40361</v>
      </c>
      <c r="E10" s="26">
        <v>40609</v>
      </c>
      <c r="F10" s="25">
        <v>37167</v>
      </c>
      <c r="G10" s="26">
        <v>34715</v>
      </c>
      <c r="H10" s="25">
        <v>34353</v>
      </c>
      <c r="I10" s="26">
        <v>35572</v>
      </c>
      <c r="J10" s="25">
        <v>35833</v>
      </c>
      <c r="K10" s="26">
        <v>37468</v>
      </c>
      <c r="L10" s="25">
        <v>31907</v>
      </c>
      <c r="M10" s="128">
        <v>31485</v>
      </c>
      <c r="N10" s="66">
        <f>SUM(AA10:AL10)</f>
        <v>34307</v>
      </c>
      <c r="O10" s="26">
        <v>2329</v>
      </c>
      <c r="P10" s="25">
        <v>2590</v>
      </c>
      <c r="Q10" s="25">
        <v>2836</v>
      </c>
      <c r="R10" s="25">
        <v>2563</v>
      </c>
      <c r="S10" s="25">
        <v>2340</v>
      </c>
      <c r="T10" s="25">
        <v>2691</v>
      </c>
      <c r="U10" s="25">
        <v>2746</v>
      </c>
      <c r="V10" s="25">
        <v>2272</v>
      </c>
      <c r="W10" s="25">
        <v>2750</v>
      </c>
      <c r="X10" s="25">
        <v>2743</v>
      </c>
      <c r="Y10" s="25">
        <v>2863</v>
      </c>
      <c r="Z10" s="25">
        <v>2762</v>
      </c>
      <c r="AA10" s="26">
        <v>2536</v>
      </c>
      <c r="AB10" s="26">
        <v>2919</v>
      </c>
      <c r="AC10" s="26">
        <v>3077</v>
      </c>
      <c r="AD10" s="26">
        <v>2707</v>
      </c>
      <c r="AE10" s="26">
        <v>2577</v>
      </c>
      <c r="AF10" s="26">
        <v>3037</v>
      </c>
      <c r="AG10" s="26">
        <v>2959</v>
      </c>
      <c r="AH10" s="26">
        <v>2537</v>
      </c>
      <c r="AI10" s="26">
        <v>2953</v>
      </c>
      <c r="AJ10" s="26">
        <v>3081</v>
      </c>
      <c r="AK10" s="26">
        <v>3044</v>
      </c>
      <c r="AL10" s="90">
        <v>2880</v>
      </c>
      <c r="AM10" s="14">
        <f>SUM(AN10:AY10)</f>
        <v>32917</v>
      </c>
      <c r="AN10" s="119">
        <v>2534</v>
      </c>
      <c r="AO10" s="26">
        <v>2862</v>
      </c>
      <c r="AP10" s="90">
        <v>3034</v>
      </c>
      <c r="AQ10" s="29">
        <v>2854</v>
      </c>
      <c r="AR10" s="29">
        <v>2525</v>
      </c>
      <c r="AS10" s="28">
        <v>2817</v>
      </c>
      <c r="AT10" s="29">
        <v>2838</v>
      </c>
      <c r="AU10" s="28">
        <v>2465</v>
      </c>
      <c r="AV10" s="29">
        <v>2771</v>
      </c>
      <c r="AW10" s="28">
        <v>2883</v>
      </c>
      <c r="AX10" s="29">
        <v>2778</v>
      </c>
      <c r="AY10" s="100">
        <v>2556</v>
      </c>
      <c r="AZ10" s="110">
        <f>SUM(BA10:BL10)</f>
        <v>34428</v>
      </c>
      <c r="BA10" s="59">
        <v>2422</v>
      </c>
      <c r="BB10" s="26">
        <v>2790</v>
      </c>
      <c r="BC10" s="26">
        <v>2853</v>
      </c>
      <c r="BD10" s="26">
        <v>2764</v>
      </c>
      <c r="BE10" s="26">
        <v>2648</v>
      </c>
      <c r="BF10" s="26">
        <v>2884</v>
      </c>
      <c r="BG10" s="26">
        <v>3085</v>
      </c>
      <c r="BH10" s="26">
        <v>2531</v>
      </c>
      <c r="BI10" s="26">
        <v>3140</v>
      </c>
      <c r="BJ10" s="26">
        <v>3181</v>
      </c>
      <c r="BK10" s="26">
        <v>3117</v>
      </c>
      <c r="BL10" s="26">
        <v>3013</v>
      </c>
      <c r="BM10" s="26">
        <v>2780</v>
      </c>
      <c r="BN10" s="26">
        <v>3135</v>
      </c>
      <c r="BO10" s="26">
        <v>3188</v>
      </c>
      <c r="BP10" s="26">
        <v>3102</v>
      </c>
      <c r="BQ10" s="26">
        <v>2952</v>
      </c>
      <c r="BR10" s="26">
        <v>3446</v>
      </c>
      <c r="BS10" s="26">
        <v>3494</v>
      </c>
      <c r="BT10" s="26">
        <v>2852</v>
      </c>
      <c r="BU10" s="26">
        <v>3569</v>
      </c>
      <c r="BV10" s="26">
        <v>3643</v>
      </c>
      <c r="BW10" s="26">
        <v>3497</v>
      </c>
      <c r="BX10" s="26">
        <v>3496</v>
      </c>
      <c r="BY10" s="110">
        <f>SUM(BM10:BX10)</f>
        <v>39154</v>
      </c>
      <c r="BZ10" s="26">
        <v>3287</v>
      </c>
      <c r="CA10" s="26">
        <v>3685</v>
      </c>
      <c r="CB10" s="26">
        <v>3961</v>
      </c>
      <c r="CC10" s="26">
        <v>3680</v>
      </c>
      <c r="CD10" s="26">
        <v>3298</v>
      </c>
      <c r="CE10" s="88">
        <v>3856</v>
      </c>
      <c r="CF10" s="88">
        <v>3895</v>
      </c>
      <c r="CG10" s="88">
        <v>3300</v>
      </c>
      <c r="CH10" s="88">
        <v>4001</v>
      </c>
      <c r="CI10" s="88">
        <v>3894</v>
      </c>
      <c r="CJ10" s="259">
        <v>4030.7710000000002</v>
      </c>
      <c r="CK10" s="369">
        <v>3834</v>
      </c>
      <c r="CL10" s="102">
        <f>SUM(BZ10:CK10)</f>
        <v>44721.771000000001</v>
      </c>
      <c r="CM10" s="289">
        <v>3513</v>
      </c>
      <c r="CN10" s="290">
        <v>3937</v>
      </c>
      <c r="CO10" s="290">
        <v>4266</v>
      </c>
      <c r="CP10" s="327">
        <v>4092</v>
      </c>
      <c r="CQ10" s="327">
        <v>3642</v>
      </c>
      <c r="CR10" s="327">
        <v>4220</v>
      </c>
      <c r="CS10" s="327">
        <v>4147</v>
      </c>
      <c r="CT10" s="327">
        <v>3599</v>
      </c>
      <c r="CU10" s="327">
        <v>4403</v>
      </c>
      <c r="CV10" s="327">
        <v>4373</v>
      </c>
      <c r="CW10" s="327">
        <v>4379</v>
      </c>
      <c r="CX10" s="317">
        <v>4190</v>
      </c>
      <c r="CY10" s="102">
        <f>SUM(CM10:CX10)</f>
        <v>48761</v>
      </c>
      <c r="CZ10" s="327">
        <v>3806</v>
      </c>
      <c r="DA10" s="327">
        <v>4349</v>
      </c>
      <c r="DB10" s="327">
        <v>4598</v>
      </c>
      <c r="DC10" s="327">
        <v>4428</v>
      </c>
      <c r="DD10" s="327">
        <v>3828</v>
      </c>
      <c r="DE10" s="327">
        <v>4458</v>
      </c>
      <c r="DF10" s="327">
        <v>4399</v>
      </c>
      <c r="DG10" s="327">
        <v>3887</v>
      </c>
      <c r="DH10" s="327">
        <v>4508</v>
      </c>
      <c r="DI10" s="327">
        <v>4626</v>
      </c>
      <c r="DJ10" s="327">
        <v>4617</v>
      </c>
      <c r="DK10" s="327">
        <v>4413</v>
      </c>
      <c r="DL10" s="102">
        <f>SUM(CZ10:DK10)</f>
        <v>51917</v>
      </c>
      <c r="DM10" s="327">
        <v>3985</v>
      </c>
      <c r="DN10" s="327">
        <v>4569</v>
      </c>
      <c r="DO10" s="327">
        <v>4803</v>
      </c>
      <c r="DP10" s="327">
        <v>4630</v>
      </c>
      <c r="DQ10" s="327">
        <v>4194</v>
      </c>
      <c r="DR10" s="327">
        <v>4720</v>
      </c>
      <c r="DS10" s="327">
        <v>4634</v>
      </c>
      <c r="DT10" s="327">
        <v>4022</v>
      </c>
      <c r="DU10" s="327">
        <v>4719</v>
      </c>
      <c r="DV10" s="327">
        <v>5047</v>
      </c>
      <c r="DW10" s="327">
        <v>5004</v>
      </c>
      <c r="DX10" s="290">
        <v>4695</v>
      </c>
      <c r="DY10" s="306">
        <f>SUM(DM10:DX10)</f>
        <v>55022</v>
      </c>
      <c r="DZ10" s="321">
        <v>4204</v>
      </c>
      <c r="EA10" s="321">
        <v>4954</v>
      </c>
      <c r="EB10" s="321">
        <v>4962</v>
      </c>
      <c r="EC10" s="321">
        <v>4768</v>
      </c>
      <c r="ED10" s="321">
        <v>4423</v>
      </c>
      <c r="EE10" s="321">
        <v>4949</v>
      </c>
      <c r="EF10" s="321">
        <v>4871</v>
      </c>
      <c r="EG10" s="321">
        <v>3829</v>
      </c>
      <c r="EH10" s="321">
        <v>4691</v>
      </c>
      <c r="EI10" s="321">
        <v>4517</v>
      </c>
      <c r="EJ10" s="321">
        <v>3905</v>
      </c>
      <c r="EK10" s="321">
        <v>3155</v>
      </c>
      <c r="EL10" s="306">
        <f>SUM(DZ10:EK10)</f>
        <v>53228</v>
      </c>
      <c r="EM10" s="321">
        <v>2192</v>
      </c>
      <c r="EN10" s="321">
        <v>2051</v>
      </c>
      <c r="EO10" s="321">
        <v>2036</v>
      </c>
      <c r="EP10" s="321">
        <v>2170.25</v>
      </c>
      <c r="EQ10" s="321">
        <v>2121.7109999999998</v>
      </c>
      <c r="ER10" s="321">
        <v>2686.415</v>
      </c>
      <c r="ES10" s="321">
        <v>2894.056</v>
      </c>
      <c r="ET10" s="321">
        <v>2480.5459999999998</v>
      </c>
      <c r="EU10" s="321">
        <v>3211.1869999999999</v>
      </c>
      <c r="EV10" s="321">
        <v>3331.2310000000002</v>
      </c>
      <c r="EW10" s="321">
        <v>3394.2530000000002</v>
      </c>
      <c r="EX10" s="321">
        <v>3289.011</v>
      </c>
      <c r="EY10" s="306">
        <f>SUM(EM10:EX10)</f>
        <v>31857.66</v>
      </c>
      <c r="EZ10" s="321">
        <v>3109.9160000000002</v>
      </c>
      <c r="FA10" s="321">
        <v>3617.547</v>
      </c>
      <c r="FB10" s="321">
        <v>3847.2730000000001</v>
      </c>
      <c r="FC10" s="321">
        <v>3584.2040000000002</v>
      </c>
      <c r="FD10" s="321">
        <v>3264.3130000000001</v>
      </c>
      <c r="FE10" s="321">
        <v>3946.37</v>
      </c>
      <c r="FF10" s="321">
        <v>3983.623</v>
      </c>
      <c r="FG10" s="321">
        <v>3297.4349999999999</v>
      </c>
      <c r="FH10" s="321">
        <v>3989.7040000000002</v>
      </c>
      <c r="FI10" s="321">
        <v>3833.64</v>
      </c>
      <c r="FJ10" s="321">
        <v>3986.91</v>
      </c>
      <c r="FK10" s="321">
        <v>3781.53</v>
      </c>
      <c r="FL10" s="306">
        <f>SUM(EZ10:FK10)</f>
        <v>44242.464999999997</v>
      </c>
      <c r="FM10" s="321">
        <v>3544.1149999999998</v>
      </c>
      <c r="FN10" s="321">
        <v>4045.527</v>
      </c>
      <c r="FO10" s="321">
        <v>3803.88</v>
      </c>
      <c r="FP10" s="321">
        <v>3292.9929999999999</v>
      </c>
      <c r="FQ10" s="321">
        <v>2855.5650000000001</v>
      </c>
      <c r="FR10" s="321">
        <v>3839.6010000000001</v>
      </c>
      <c r="FS10" s="321">
        <v>4013.2620000000002</v>
      </c>
      <c r="FT10" s="321">
        <v>3608.319</v>
      </c>
      <c r="FU10" s="321">
        <v>4333.1210000000001</v>
      </c>
      <c r="FV10" s="321">
        <v>4261.5839999999998</v>
      </c>
      <c r="FW10" s="321">
        <v>4316.9660000000003</v>
      </c>
      <c r="FX10" s="321">
        <v>4258.3829999999998</v>
      </c>
      <c r="FY10" s="306">
        <f>SUM(FM10:FX10)</f>
        <v>46173.316000000006</v>
      </c>
      <c r="FZ10" s="321">
        <v>3627.7370000000001</v>
      </c>
      <c r="GA10" s="321">
        <v>4525.1480000000001</v>
      </c>
      <c r="GB10" s="321">
        <v>4309.9840000000004</v>
      </c>
      <c r="GC10" s="321">
        <v>4128.3609999999999</v>
      </c>
      <c r="GD10" s="321">
        <v>3649.6239999999998</v>
      </c>
      <c r="GE10" s="321">
        <v>4148.3909999999996</v>
      </c>
      <c r="GF10" s="321">
        <v>4141.8230000000003</v>
      </c>
      <c r="GG10" s="321">
        <v>3325.0329999999999</v>
      </c>
      <c r="GH10" s="321">
        <v>4012.4</v>
      </c>
      <c r="GI10" s="321">
        <v>4107.9780000000001</v>
      </c>
      <c r="GJ10" s="321">
        <v>3807.39</v>
      </c>
      <c r="GK10" s="321">
        <v>3564.152</v>
      </c>
      <c r="GL10" s="420">
        <f>SUM(FZ10:GK10)</f>
        <v>47348.021000000001</v>
      </c>
      <c r="GM10" s="321">
        <v>3659.53</v>
      </c>
      <c r="GN10" s="321">
        <v>4285.1930000000002</v>
      </c>
      <c r="GO10" s="321">
        <v>4492.5709999999999</v>
      </c>
      <c r="GP10" s="321">
        <v>4497.1980000000003</v>
      </c>
      <c r="GQ10" s="321">
        <v>4262.88</v>
      </c>
      <c r="GR10" s="321">
        <v>4529.8860000000004</v>
      </c>
      <c r="GS10" s="321">
        <v>4810.0240000000003</v>
      </c>
      <c r="GT10" s="321">
        <v>3904.7080000000001</v>
      </c>
      <c r="GU10" s="321">
        <v>4755.6750000000002</v>
      </c>
      <c r="GV10" s="321">
        <v>4766.5559999999996</v>
      </c>
      <c r="GW10" s="321">
        <v>4706.7920000000004</v>
      </c>
      <c r="GX10" s="321">
        <v>4541.8810000000003</v>
      </c>
      <c r="GY10" s="420">
        <f>SUM(GM10:GX10)</f>
        <v>53212.894000000008</v>
      </c>
      <c r="GZ10" s="321">
        <v>4243.701</v>
      </c>
      <c r="HA10" s="321">
        <v>4727.9350000000004</v>
      </c>
      <c r="HB10" s="321">
        <v>4743.1909999999998</v>
      </c>
      <c r="HC10" s="321">
        <v>4702.2860000000001</v>
      </c>
      <c r="HD10" s="321">
        <v>4440.9709999999995</v>
      </c>
      <c r="HE10" s="321">
        <v>5003.9570000000003</v>
      </c>
      <c r="HF10" s="321">
        <v>5091.5929999999998</v>
      </c>
      <c r="HG10" s="321">
        <v>4010.308</v>
      </c>
      <c r="HH10" s="321">
        <v>5156.57</v>
      </c>
      <c r="HI10" s="321">
        <v>5063.9170000000004</v>
      </c>
      <c r="HJ10" s="321">
        <v>4708.1949999999997</v>
      </c>
      <c r="HK10" s="321">
        <v>4667.0680000000002</v>
      </c>
      <c r="HL10" s="420">
        <f>SUM(GZ10:HK10)</f>
        <v>56559.692000000003</v>
      </c>
      <c r="HM10" s="321">
        <v>4404.8950000000004</v>
      </c>
      <c r="HN10" s="289">
        <v>4810.2979999999998</v>
      </c>
      <c r="HO10" s="306">
        <v>4953.9260000000004</v>
      </c>
      <c r="HP10" s="425">
        <v>4707.5020000000004</v>
      </c>
      <c r="HQ10" s="432">
        <v>4137.4589999999998</v>
      </c>
      <c r="HR10" s="432">
        <v>5009.7659999999996</v>
      </c>
      <c r="HS10" s="432">
        <v>4987.4340000000002</v>
      </c>
      <c r="HT10" s="432">
        <v>3924.25</v>
      </c>
      <c r="HU10" s="432">
        <v>5004.9160000000002</v>
      </c>
      <c r="HV10" s="432">
        <v>4873.1239999999998</v>
      </c>
      <c r="HW10" s="432">
        <v>4949.1949999999997</v>
      </c>
      <c r="HX10" s="432">
        <v>4564.96</v>
      </c>
      <c r="HY10" s="473">
        <f>SUM(HM10:HX10)</f>
        <v>56327.724999999991</v>
      </c>
      <c r="HZ10" s="467">
        <v>4266420</v>
      </c>
      <c r="IA10" s="467">
        <v>4913605</v>
      </c>
      <c r="IB10" s="467">
        <v>5024272</v>
      </c>
      <c r="IC10" s="467">
        <v>4924111</v>
      </c>
      <c r="ID10" s="467">
        <v>4220790</v>
      </c>
      <c r="IE10" s="467">
        <v>5099936</v>
      </c>
      <c r="IF10" s="467">
        <v>4999599</v>
      </c>
      <c r="IG10" s="467">
        <v>4306092</v>
      </c>
      <c r="IH10" s="467">
        <v>5247607</v>
      </c>
      <c r="II10" s="467">
        <v>5044094</v>
      </c>
      <c r="IJ10" s="467">
        <v>5305256</v>
      </c>
      <c r="IK10" s="467">
        <v>4999106</v>
      </c>
      <c r="IL10" s="468">
        <f>SUM(HZ10:IK10)</f>
        <v>58350888</v>
      </c>
      <c r="IM10" s="467">
        <v>4557061</v>
      </c>
      <c r="IN10" s="467">
        <v>5176663</v>
      </c>
      <c r="IO10" s="467">
        <v>5537310</v>
      </c>
      <c r="IP10" s="467">
        <v>5158548</v>
      </c>
      <c r="IQ10" s="467">
        <v>4533638</v>
      </c>
      <c r="IR10" s="467">
        <v>5445640</v>
      </c>
      <c r="IS10" s="467">
        <v>5412016</v>
      </c>
      <c r="IT10" s="467">
        <v>4581487</v>
      </c>
      <c r="IU10" s="467">
        <v>5285777</v>
      </c>
      <c r="IV10" s="467">
        <v>5507358</v>
      </c>
      <c r="IW10" s="467">
        <v>5673700</v>
      </c>
      <c r="IX10" s="467">
        <v>5345968</v>
      </c>
      <c r="IY10" s="468">
        <f>SUM(IM10:IX10)</f>
        <v>62215166</v>
      </c>
      <c r="IZ10" s="467">
        <v>4630752</v>
      </c>
      <c r="JA10" s="467">
        <v>5346397</v>
      </c>
      <c r="JB10" s="467">
        <v>5651804</v>
      </c>
      <c r="JC10" s="467">
        <v>5386773</v>
      </c>
      <c r="JD10" s="467">
        <v>4905662</v>
      </c>
      <c r="JE10" s="467">
        <v>5726329</v>
      </c>
      <c r="JF10" s="520">
        <v>5677</v>
      </c>
      <c r="JG10" s="520">
        <v>4735</v>
      </c>
      <c r="JH10" s="520">
        <v>5400</v>
      </c>
      <c r="JI10" s="520">
        <v>5835</v>
      </c>
      <c r="JJ10" s="520">
        <v>5670</v>
      </c>
      <c r="JK10" s="520">
        <v>5319</v>
      </c>
      <c r="JL10" s="525">
        <v>64284</v>
      </c>
      <c r="JM10" s="412">
        <v>4731</v>
      </c>
      <c r="JN10" s="568">
        <v>5598</v>
      </c>
    </row>
    <row r="11" spans="1:274" ht="13.5" customHeight="1" thickBot="1" x14ac:dyDescent="0.35">
      <c r="A11" s="551"/>
      <c r="B11" s="65" t="s">
        <v>102</v>
      </c>
      <c r="C11" s="67"/>
      <c r="D11" s="60">
        <f t="shared" ref="D11:M11" si="64">(D10/C10-1)*100</f>
        <v>13.08136277036871</v>
      </c>
      <c r="E11" s="60">
        <f t="shared" si="64"/>
        <v>0.61445454770694408</v>
      </c>
      <c r="F11" s="60">
        <f t="shared" si="64"/>
        <v>-8.4759536063434222</v>
      </c>
      <c r="G11" s="60">
        <f t="shared" si="64"/>
        <v>-6.597250248876696</v>
      </c>
      <c r="H11" s="60">
        <f t="shared" si="64"/>
        <v>-1.0427768975946994</v>
      </c>
      <c r="I11" s="60">
        <f t="shared" si="64"/>
        <v>3.5484528279917438</v>
      </c>
      <c r="J11" s="60">
        <f t="shared" si="64"/>
        <v>0.73372315304172098</v>
      </c>
      <c r="K11" s="60">
        <f t="shared" si="64"/>
        <v>4.562833142633882</v>
      </c>
      <c r="L11" s="60">
        <f t="shared" si="64"/>
        <v>-14.841998505391263</v>
      </c>
      <c r="M11" s="60">
        <f t="shared" si="64"/>
        <v>-1.3225937881969463</v>
      </c>
      <c r="N11" s="60">
        <f>(N10/M10-1)*100</f>
        <v>8.9629982531364227</v>
      </c>
      <c r="O11" s="61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3"/>
      <c r="AA11" s="60">
        <f t="shared" ref="AA11:AL11" si="65">(AA10/O10-1)*100</f>
        <v>8.8879347359381633</v>
      </c>
      <c r="AB11" s="60">
        <f t="shared" si="65"/>
        <v>12.702702702702705</v>
      </c>
      <c r="AC11" s="60">
        <f t="shared" si="65"/>
        <v>8.4978843441466889</v>
      </c>
      <c r="AD11" s="60">
        <f t="shared" si="65"/>
        <v>5.6184159188451099</v>
      </c>
      <c r="AE11" s="60">
        <f t="shared" si="65"/>
        <v>10.128205128205137</v>
      </c>
      <c r="AF11" s="60">
        <f t="shared" si="65"/>
        <v>12.857673727238939</v>
      </c>
      <c r="AG11" s="60">
        <f t="shared" si="65"/>
        <v>7.756737072104869</v>
      </c>
      <c r="AH11" s="60">
        <f t="shared" si="65"/>
        <v>11.6637323943662</v>
      </c>
      <c r="AI11" s="60">
        <f t="shared" si="65"/>
        <v>7.3818181818181783</v>
      </c>
      <c r="AJ11" s="60">
        <f t="shared" si="65"/>
        <v>12.322274881516581</v>
      </c>
      <c r="AK11" s="60">
        <f t="shared" si="65"/>
        <v>6.3220398183723381</v>
      </c>
      <c r="AL11" s="84">
        <f t="shared" si="65"/>
        <v>4.2722664735698856</v>
      </c>
      <c r="AM11" s="60">
        <f>(AM10/N10-1)*100</f>
        <v>-4.0516512665053739</v>
      </c>
      <c r="AN11" s="121">
        <f t="shared" ref="AN11:BL11" si="66">(AN10/AA10-1)*100</f>
        <v>-7.8864353312302349E-2</v>
      </c>
      <c r="AO11" s="60">
        <f t="shared" si="66"/>
        <v>-1.9527235354573458</v>
      </c>
      <c r="AP11" s="84">
        <f t="shared" si="66"/>
        <v>-1.3974650633734154</v>
      </c>
      <c r="AQ11" s="60">
        <f t="shared" si="66"/>
        <v>5.4303657185075682</v>
      </c>
      <c r="AR11" s="60">
        <f t="shared" si="66"/>
        <v>-2.0178502134264642</v>
      </c>
      <c r="AS11" s="82">
        <f t="shared" si="66"/>
        <v>-7.2439907803753751</v>
      </c>
      <c r="AT11" s="60">
        <f t="shared" si="66"/>
        <v>-4.0892193308550207</v>
      </c>
      <c r="AU11" s="82">
        <f t="shared" si="66"/>
        <v>-2.8379976350019653</v>
      </c>
      <c r="AV11" s="60">
        <f t="shared" si="66"/>
        <v>-6.1632238401625461</v>
      </c>
      <c r="AW11" s="82">
        <f t="shared" si="66"/>
        <v>-6.4264849074975654</v>
      </c>
      <c r="AX11" s="60">
        <f t="shared" si="66"/>
        <v>-8.7385019710906739</v>
      </c>
      <c r="AY11" s="83">
        <f t="shared" si="66"/>
        <v>-11.250000000000004</v>
      </c>
      <c r="AZ11" s="127">
        <f t="shared" si="66"/>
        <v>4.5903332624479765</v>
      </c>
      <c r="BA11" s="125">
        <f t="shared" si="66"/>
        <v>-4.4198895027624303</v>
      </c>
      <c r="BB11" s="108">
        <f t="shared" si="66"/>
        <v>-2.515723270440251</v>
      </c>
      <c r="BC11" s="108">
        <f t="shared" si="66"/>
        <v>-5.9657218193803541</v>
      </c>
      <c r="BD11" s="108">
        <f t="shared" si="66"/>
        <v>-3.153468815697269</v>
      </c>
      <c r="BE11" s="108">
        <f t="shared" si="66"/>
        <v>4.8712871287128756</v>
      </c>
      <c r="BF11" s="108">
        <f t="shared" si="66"/>
        <v>2.3784167554135704</v>
      </c>
      <c r="BG11" s="108">
        <f t="shared" si="66"/>
        <v>8.7033121916842759</v>
      </c>
      <c r="BH11" s="108">
        <f t="shared" si="66"/>
        <v>2.6774847870182583</v>
      </c>
      <c r="BI11" s="108">
        <f t="shared" si="66"/>
        <v>13.316492241068211</v>
      </c>
      <c r="BJ11" s="108">
        <f t="shared" si="66"/>
        <v>10.336455081512309</v>
      </c>
      <c r="BK11" s="108">
        <f t="shared" si="66"/>
        <v>12.203023758099363</v>
      </c>
      <c r="BL11" s="108">
        <f t="shared" si="66"/>
        <v>17.879499217527382</v>
      </c>
      <c r="BM11" s="108">
        <f t="shared" ref="BM11:BX11" si="67">(BM10/BA10-1)*100</f>
        <v>14.7811725846408</v>
      </c>
      <c r="BN11" s="108">
        <f t="shared" si="67"/>
        <v>12.365591397849451</v>
      </c>
      <c r="BO11" s="108">
        <f t="shared" si="67"/>
        <v>11.742025937609535</v>
      </c>
      <c r="BP11" s="108">
        <f t="shared" si="67"/>
        <v>12.228654124457305</v>
      </c>
      <c r="BQ11" s="108">
        <f t="shared" si="67"/>
        <v>11.480362537764343</v>
      </c>
      <c r="BR11" s="108">
        <f t="shared" si="67"/>
        <v>19.486823855755887</v>
      </c>
      <c r="BS11" s="108">
        <f t="shared" si="67"/>
        <v>13.25769854132901</v>
      </c>
      <c r="BT11" s="108">
        <f t="shared" si="67"/>
        <v>12.682734097194782</v>
      </c>
      <c r="BU11" s="108">
        <f t="shared" si="67"/>
        <v>13.662420382165607</v>
      </c>
      <c r="BV11" s="108">
        <f t="shared" si="67"/>
        <v>14.523734674630617</v>
      </c>
      <c r="BW11" s="108">
        <f t="shared" si="67"/>
        <v>12.191209496310563</v>
      </c>
      <c r="BX11" s="108">
        <f t="shared" si="67"/>
        <v>16.030534351145032</v>
      </c>
      <c r="BY11" s="127">
        <f>(BY10/AZ10-1)*100</f>
        <v>13.727198791681182</v>
      </c>
      <c r="BZ11" s="32">
        <f t="shared" ref="BZ11:CK11" si="68">(BZ10/BM10-1)*100</f>
        <v>18.237410071942438</v>
      </c>
      <c r="CA11" s="32">
        <f t="shared" si="68"/>
        <v>17.543859649122815</v>
      </c>
      <c r="CB11" s="32">
        <f t="shared" si="68"/>
        <v>24.247176913425349</v>
      </c>
      <c r="CC11" s="32">
        <f t="shared" si="68"/>
        <v>18.633139909735654</v>
      </c>
      <c r="CD11" s="108">
        <f t="shared" si="68"/>
        <v>11.720867208672093</v>
      </c>
      <c r="CE11" s="89">
        <f t="shared" si="68"/>
        <v>11.897852582704594</v>
      </c>
      <c r="CF11" s="89">
        <f t="shared" si="68"/>
        <v>11.476817401259298</v>
      </c>
      <c r="CG11" s="89">
        <f t="shared" si="68"/>
        <v>15.708274894810659</v>
      </c>
      <c r="CH11" s="89">
        <f t="shared" si="68"/>
        <v>12.104230876996347</v>
      </c>
      <c r="CI11" s="89">
        <f t="shared" si="68"/>
        <v>6.889925885259407</v>
      </c>
      <c r="CJ11" s="258">
        <f t="shared" si="68"/>
        <v>15.263683156991714</v>
      </c>
      <c r="CK11" s="368">
        <f t="shared" si="68"/>
        <v>9.6681922196796286</v>
      </c>
      <c r="CL11" s="83">
        <f t="shared" ref="CL11:EL11" si="69">(CL10/BY10-1)*100</f>
        <v>14.220184400061298</v>
      </c>
      <c r="CM11" s="303">
        <f t="shared" si="69"/>
        <v>6.8755704289625852</v>
      </c>
      <c r="CN11" s="304">
        <f t="shared" si="69"/>
        <v>6.8385345997286295</v>
      </c>
      <c r="CO11" s="304">
        <f t="shared" si="69"/>
        <v>7.7000757384498852</v>
      </c>
      <c r="CP11" s="379">
        <f t="shared" si="69"/>
        <v>11.19565217391305</v>
      </c>
      <c r="CQ11" s="379">
        <f t="shared" si="69"/>
        <v>10.430563978168594</v>
      </c>
      <c r="CR11" s="379">
        <f t="shared" si="69"/>
        <v>9.4398340248962764</v>
      </c>
      <c r="CS11" s="379">
        <f t="shared" si="69"/>
        <v>6.4698331193838277</v>
      </c>
      <c r="CT11" s="379">
        <f t="shared" si="69"/>
        <v>9.0606060606060588</v>
      </c>
      <c r="CU11" s="379">
        <f t="shared" si="69"/>
        <v>10.047488127968007</v>
      </c>
      <c r="CV11" s="379">
        <f t="shared" si="69"/>
        <v>12.300975860297903</v>
      </c>
      <c r="CW11" s="379">
        <f t="shared" si="69"/>
        <v>8.6392652919255362</v>
      </c>
      <c r="CX11" s="375">
        <f t="shared" si="69"/>
        <v>9.2853416797078694</v>
      </c>
      <c r="CY11" s="83">
        <f t="shared" si="69"/>
        <v>9.0319075244135618</v>
      </c>
      <c r="CZ11" s="379">
        <f t="shared" si="69"/>
        <v>8.340449758041558</v>
      </c>
      <c r="DA11" s="379">
        <f t="shared" si="69"/>
        <v>10.464820929641849</v>
      </c>
      <c r="DB11" s="379">
        <f t="shared" si="69"/>
        <v>7.7824660103141152</v>
      </c>
      <c r="DC11" s="379">
        <f t="shared" si="69"/>
        <v>8.2111436950146555</v>
      </c>
      <c r="DD11" s="379">
        <f t="shared" si="69"/>
        <v>5.107084019769359</v>
      </c>
      <c r="DE11" s="379">
        <f t="shared" si="69"/>
        <v>5.6398104265402926</v>
      </c>
      <c r="DF11" s="379">
        <f t="shared" si="69"/>
        <v>6.0766819387509052</v>
      </c>
      <c r="DG11" s="379">
        <f t="shared" si="69"/>
        <v>8.0022228396776853</v>
      </c>
      <c r="DH11" s="379">
        <f t="shared" si="69"/>
        <v>2.3847376788553198</v>
      </c>
      <c r="DI11" s="379">
        <f t="shared" si="69"/>
        <v>5.7855019437457189</v>
      </c>
      <c r="DJ11" s="379">
        <f t="shared" si="69"/>
        <v>5.4350308289563776</v>
      </c>
      <c r="DK11" s="379">
        <f t="shared" si="69"/>
        <v>5.3221957040572754</v>
      </c>
      <c r="DL11" s="83">
        <f t="shared" si="69"/>
        <v>6.4723857180943867</v>
      </c>
      <c r="DM11" s="379">
        <f t="shared" si="69"/>
        <v>4.7031003678402516</v>
      </c>
      <c r="DN11" s="379">
        <f t="shared" si="69"/>
        <v>5.0586341687744341</v>
      </c>
      <c r="DO11" s="379">
        <f t="shared" si="69"/>
        <v>4.4584602000869999</v>
      </c>
      <c r="DP11" s="379">
        <f t="shared" si="69"/>
        <v>4.5618789521228553</v>
      </c>
      <c r="DQ11" s="379">
        <f t="shared" si="69"/>
        <v>9.5611285266457671</v>
      </c>
      <c r="DR11" s="379">
        <f t="shared" si="69"/>
        <v>5.8770749214894558</v>
      </c>
      <c r="DS11" s="379">
        <f t="shared" si="69"/>
        <v>5.3421232098204152</v>
      </c>
      <c r="DT11" s="379">
        <f t="shared" si="69"/>
        <v>3.4731155132492919</v>
      </c>
      <c r="DU11" s="379">
        <f t="shared" si="69"/>
        <v>4.6805678793256478</v>
      </c>
      <c r="DV11" s="379">
        <f t="shared" si="69"/>
        <v>9.1007349762213465</v>
      </c>
      <c r="DW11" s="379">
        <f t="shared" si="69"/>
        <v>8.382066276803112</v>
      </c>
      <c r="DX11" s="304">
        <f t="shared" si="69"/>
        <v>6.3902107409925302</v>
      </c>
      <c r="DY11" s="394">
        <f t="shared" si="69"/>
        <v>5.9806999634031133</v>
      </c>
      <c r="DZ11" s="398">
        <f t="shared" si="69"/>
        <v>5.4956085319949777</v>
      </c>
      <c r="EA11" s="398">
        <f t="shared" si="69"/>
        <v>8.426351499233963</v>
      </c>
      <c r="EB11" s="398">
        <f t="shared" si="69"/>
        <v>3.3104309806371024</v>
      </c>
      <c r="EC11" s="398">
        <f t="shared" si="69"/>
        <v>2.9805615550756004</v>
      </c>
      <c r="ED11" s="398">
        <f t="shared" si="69"/>
        <v>5.4601812112541781</v>
      </c>
      <c r="EE11" s="398">
        <f t="shared" si="69"/>
        <v>4.8516949152542344</v>
      </c>
      <c r="EF11" s="398">
        <f t="shared" si="69"/>
        <v>5.1143720328010289</v>
      </c>
      <c r="EG11" s="398">
        <f t="shared" si="69"/>
        <v>-4.7986076578816483</v>
      </c>
      <c r="EH11" s="398">
        <f t="shared" si="69"/>
        <v>-0.59334604789150758</v>
      </c>
      <c r="EI11" s="398">
        <f t="shared" si="69"/>
        <v>-10.501287893798295</v>
      </c>
      <c r="EJ11" s="398">
        <f t="shared" si="69"/>
        <v>-21.962430055955238</v>
      </c>
      <c r="EK11" s="398">
        <f t="shared" si="69"/>
        <v>-32.800851970181043</v>
      </c>
      <c r="EL11" s="394">
        <f t="shared" si="69"/>
        <v>-3.2605139762276858</v>
      </c>
      <c r="EM11" s="398">
        <f t="shared" ref="EM11:EX11" si="70">(EM10/DZ10-1)*100</f>
        <v>-47.85918173168411</v>
      </c>
      <c r="EN11" s="398">
        <f t="shared" si="70"/>
        <v>-58.599111828825187</v>
      </c>
      <c r="EO11" s="398">
        <f t="shared" si="70"/>
        <v>-58.968158000806127</v>
      </c>
      <c r="EP11" s="398">
        <f t="shared" si="70"/>
        <v>-54.483011744966433</v>
      </c>
      <c r="EQ11" s="398">
        <f t="shared" si="70"/>
        <v>-52.030047479086591</v>
      </c>
      <c r="ER11" s="398">
        <f t="shared" si="70"/>
        <v>-45.718023843200648</v>
      </c>
      <c r="ES11" s="398">
        <f t="shared" si="70"/>
        <v>-40.58599876822008</v>
      </c>
      <c r="ET11" s="398">
        <f t="shared" si="70"/>
        <v>-35.216871245756074</v>
      </c>
      <c r="EU11" s="398">
        <f t="shared" si="70"/>
        <v>-31.545789810274993</v>
      </c>
      <c r="EV11" s="398">
        <f t="shared" si="70"/>
        <v>-26.251250830197026</v>
      </c>
      <c r="EW11" s="398">
        <f t="shared" si="70"/>
        <v>-13.079308578745197</v>
      </c>
      <c r="EX11" s="398">
        <f t="shared" si="70"/>
        <v>4.2475752773375675</v>
      </c>
      <c r="EY11" s="394">
        <f t="shared" ref="EY11:FX11" si="71">(EY10/EL10-1)*100</f>
        <v>-40.148681145261889</v>
      </c>
      <c r="EZ11" s="398">
        <f t="shared" si="71"/>
        <v>41.875729927007299</v>
      </c>
      <c r="FA11" s="398">
        <f t="shared" si="71"/>
        <v>76.379668454412482</v>
      </c>
      <c r="FB11" s="398">
        <f t="shared" si="71"/>
        <v>88.962328094302563</v>
      </c>
      <c r="FC11" s="398">
        <f t="shared" si="71"/>
        <v>65.151664554774811</v>
      </c>
      <c r="FD11" s="398">
        <f t="shared" si="71"/>
        <v>53.852857434400846</v>
      </c>
      <c r="FE11" s="398">
        <f t="shared" si="71"/>
        <v>46.900981419475386</v>
      </c>
      <c r="FF11" s="398">
        <f t="shared" si="71"/>
        <v>37.648442186329504</v>
      </c>
      <c r="FG11" s="398">
        <f t="shared" si="71"/>
        <v>32.931822268161937</v>
      </c>
      <c r="FH11" s="398">
        <f t="shared" si="71"/>
        <v>24.243901087043529</v>
      </c>
      <c r="FI11" s="398">
        <f t="shared" si="71"/>
        <v>15.081782079957829</v>
      </c>
      <c r="FJ11" s="398">
        <f t="shared" si="71"/>
        <v>17.46060178778659</v>
      </c>
      <c r="FK11" s="398">
        <f t="shared" si="71"/>
        <v>14.97468387913572</v>
      </c>
      <c r="FL11" s="394">
        <f t="shared" si="71"/>
        <v>38.875438434586826</v>
      </c>
      <c r="FM11" s="398">
        <f t="shared" si="71"/>
        <v>13.961759738848233</v>
      </c>
      <c r="FN11" s="398">
        <f t="shared" si="71"/>
        <v>11.830668682397217</v>
      </c>
      <c r="FO11" s="398">
        <f t="shared" si="71"/>
        <v>-1.1278898066240717</v>
      </c>
      <c r="FP11" s="398">
        <f t="shared" si="71"/>
        <v>-8.1248444563981401</v>
      </c>
      <c r="FQ11" s="398">
        <f t="shared" si="71"/>
        <v>-12.52171590163076</v>
      </c>
      <c r="FR11" s="398">
        <f t="shared" si="71"/>
        <v>-2.7054989775413762</v>
      </c>
      <c r="FS11" s="398">
        <f t="shared" si="71"/>
        <v>0.74402120883427791</v>
      </c>
      <c r="FT11" s="398">
        <f t="shared" si="71"/>
        <v>9.4280554430943972</v>
      </c>
      <c r="FU11" s="398">
        <f t="shared" si="71"/>
        <v>8.6075809132707626</v>
      </c>
      <c r="FV11" s="398">
        <f t="shared" si="71"/>
        <v>11.162863492659714</v>
      </c>
      <c r="FW11" s="398">
        <f t="shared" si="71"/>
        <v>8.278491362985374</v>
      </c>
      <c r="FX11" s="398">
        <f t="shared" si="71"/>
        <v>12.610054660415226</v>
      </c>
      <c r="FY11" s="394">
        <f t="shared" ref="FY11:GH11" si="72">(FY10/FL10-1)*100</f>
        <v>4.3642482397850291</v>
      </c>
      <c r="FZ11" s="398">
        <f t="shared" si="72"/>
        <v>2.3594606834146159</v>
      </c>
      <c r="GA11" s="398">
        <f t="shared" si="72"/>
        <v>11.855587665092827</v>
      </c>
      <c r="GB11" s="398">
        <f t="shared" si="72"/>
        <v>13.304941270492243</v>
      </c>
      <c r="GC11" s="398">
        <f t="shared" si="72"/>
        <v>25.368046637208153</v>
      </c>
      <c r="GD11" s="398">
        <f t="shared" si="72"/>
        <v>27.807421648605434</v>
      </c>
      <c r="GE11" s="398">
        <f t="shared" si="72"/>
        <v>8.0422418891962888</v>
      </c>
      <c r="GF11" s="398">
        <f t="shared" si="72"/>
        <v>3.2034041136611568</v>
      </c>
      <c r="GG11" s="398">
        <f t="shared" si="72"/>
        <v>-7.8509134031664036</v>
      </c>
      <c r="GH11" s="398">
        <f t="shared" si="72"/>
        <v>-7.4016165253635862</v>
      </c>
      <c r="GI11" s="398">
        <f>(GI10/FU10-1)*100</f>
        <v>-5.1958622895598827</v>
      </c>
      <c r="GJ11" s="398">
        <f>(GJ10/FV10-1)*100</f>
        <v>-10.657868060326869</v>
      </c>
      <c r="GK11" s="398">
        <f>(GK10/FW10-1)*100</f>
        <v>-17.438497315012448</v>
      </c>
      <c r="GL11" s="419">
        <f t="shared" ref="GL11:HY11" si="73">(GL10/FY10-1)*100</f>
        <v>2.544120937729466</v>
      </c>
      <c r="GM11" s="398">
        <f t="shared" si="73"/>
        <v>0.87638657377864249</v>
      </c>
      <c r="GN11" s="398">
        <f t="shared" si="73"/>
        <v>-5.3026994918177195</v>
      </c>
      <c r="GO11" s="398">
        <f t="shared" si="73"/>
        <v>4.2363730352595219</v>
      </c>
      <c r="GP11" s="398">
        <f t="shared" si="73"/>
        <v>8.9342235332617648</v>
      </c>
      <c r="GQ11" s="398">
        <f t="shared" si="73"/>
        <v>16.803265213074003</v>
      </c>
      <c r="GR11" s="398">
        <f t="shared" si="73"/>
        <v>9.1962160750999722</v>
      </c>
      <c r="GS11" s="398">
        <f t="shared" si="73"/>
        <v>16.133016789949739</v>
      </c>
      <c r="GT11" s="398">
        <f t="shared" si="73"/>
        <v>17.43366156065218</v>
      </c>
      <c r="GU11" s="398">
        <f t="shared" si="73"/>
        <v>18.524449207456883</v>
      </c>
      <c r="GV11" s="398">
        <f t="shared" si="73"/>
        <v>16.031682740267826</v>
      </c>
      <c r="GW11" s="398">
        <f t="shared" si="73"/>
        <v>23.622534071897029</v>
      </c>
      <c r="GX11" s="398">
        <f t="shared" si="73"/>
        <v>27.432303672795101</v>
      </c>
      <c r="GY11" s="419">
        <f t="shared" si="73"/>
        <v>12.386733122383319</v>
      </c>
      <c r="GZ11" s="398">
        <f t="shared" si="73"/>
        <v>15.963006178389016</v>
      </c>
      <c r="HA11" s="398">
        <f t="shared" si="73"/>
        <v>10.331903370513306</v>
      </c>
      <c r="HB11" s="398">
        <f t="shared" si="73"/>
        <v>5.5785428878029952</v>
      </c>
      <c r="HC11" s="398">
        <f t="shared" si="73"/>
        <v>4.5603506894737578</v>
      </c>
      <c r="HD11" s="398">
        <f t="shared" si="73"/>
        <v>4.1777155350373407</v>
      </c>
      <c r="HE11" s="398">
        <f t="shared" si="73"/>
        <v>10.465406855713354</v>
      </c>
      <c r="HF11" s="398">
        <f t="shared" si="73"/>
        <v>5.853796155694857</v>
      </c>
      <c r="HG11" s="398">
        <f t="shared" si="73"/>
        <v>2.7044275781953564</v>
      </c>
      <c r="HH11" s="398">
        <f t="shared" si="73"/>
        <v>8.4298233163536018</v>
      </c>
      <c r="HI11" s="398">
        <f t="shared" si="73"/>
        <v>6.2384874949544367</v>
      </c>
      <c r="HJ11" s="398">
        <f t="shared" si="73"/>
        <v>2.9807988115893025E-2</v>
      </c>
      <c r="HK11" s="398">
        <f t="shared" si="73"/>
        <v>2.7562809329438664</v>
      </c>
      <c r="HL11" s="419">
        <f t="shared" si="73"/>
        <v>6.2894493203094592</v>
      </c>
      <c r="HM11" s="398">
        <f t="shared" si="73"/>
        <v>3.79842971971871</v>
      </c>
      <c r="HN11" s="303">
        <f t="shared" si="73"/>
        <v>1.7420501762397178</v>
      </c>
      <c r="HO11" s="424">
        <f t="shared" si="73"/>
        <v>4.442895088981258</v>
      </c>
      <c r="HP11" s="303">
        <f t="shared" si="73"/>
        <v>0.11092477148348934</v>
      </c>
      <c r="HQ11" s="424">
        <f t="shared" si="73"/>
        <v>-6.834361224155705</v>
      </c>
      <c r="HR11" s="424">
        <f t="shared" si="73"/>
        <v>0.11608812785559586</v>
      </c>
      <c r="HS11" s="424">
        <f t="shared" si="73"/>
        <v>-2.0457055385220246</v>
      </c>
      <c r="HT11" s="424">
        <f t="shared" si="73"/>
        <v>-2.1459199642521187</v>
      </c>
      <c r="HU11" s="424">
        <f t="shared" si="73"/>
        <v>-2.9409859654770387</v>
      </c>
      <c r="HV11" s="424">
        <f t="shared" si="73"/>
        <v>-3.7676960345124244</v>
      </c>
      <c r="HW11" s="424">
        <f t="shared" si="73"/>
        <v>5.1187344619328723</v>
      </c>
      <c r="HX11" s="424">
        <f t="shared" si="73"/>
        <v>-2.1878404171526977</v>
      </c>
      <c r="HY11" s="474">
        <f t="shared" si="73"/>
        <v>-0.41012776377921112</v>
      </c>
      <c r="HZ11" s="424">
        <f>(4266/4405-1)*100</f>
        <v>-3.1555051078320129</v>
      </c>
      <c r="IA11" s="424">
        <f>(4914/4810-1)*100</f>
        <v>2.1621621621621623</v>
      </c>
      <c r="IB11" s="424">
        <f>(5024/4954-1)*100</f>
        <v>1.4129995962858244</v>
      </c>
      <c r="IC11" s="424">
        <f>(4924/4708-1)*100</f>
        <v>4.587935429056933</v>
      </c>
      <c r="ID11" s="424">
        <f>(4221/4137-1)*100</f>
        <v>2.0304568527918843</v>
      </c>
      <c r="IE11" s="424">
        <f>(5100/5010-1)*100</f>
        <v>1.7964071856287456</v>
      </c>
      <c r="IF11" s="424">
        <f>(5000/4987-1)*100</f>
        <v>0.26067776218168248</v>
      </c>
      <c r="IG11" s="424">
        <f>(4306/3924-1)*100</f>
        <v>9.7349643221202875</v>
      </c>
      <c r="IH11" s="424">
        <f>(5248/5005-1)*100</f>
        <v>4.8551448551448662</v>
      </c>
      <c r="II11" s="424">
        <f>(5044/4873-1)*100</f>
        <v>3.5091319515698771</v>
      </c>
      <c r="IJ11" s="424">
        <f>(5305/4949-1)*100</f>
        <v>7.1933723984643372</v>
      </c>
      <c r="IK11" s="424">
        <f>(4999/4565-1)*100</f>
        <v>9.5071193866374628</v>
      </c>
      <c r="IL11" s="474">
        <f>(58351/56328-1)*100</f>
        <v>3.591464280641965</v>
      </c>
      <c r="IM11" s="424">
        <f>(IM10/HZ10-1)*100</f>
        <v>6.8122922731470359</v>
      </c>
      <c r="IN11" s="505">
        <f>(IN10/IA10-1)*100</f>
        <v>5.3536659947228227</v>
      </c>
      <c r="IO11" s="505">
        <f t="shared" ref="IO11:IX11" si="74">(IO10/IB10-1)*100</f>
        <v>10.211190795402803</v>
      </c>
      <c r="IP11" s="505">
        <f t="shared" si="74"/>
        <v>4.7610015290069585</v>
      </c>
      <c r="IQ11" s="505">
        <f t="shared" si="74"/>
        <v>7.4120721476311324</v>
      </c>
      <c r="IR11" s="505">
        <f t="shared" si="74"/>
        <v>6.7785948686414965</v>
      </c>
      <c r="IS11" s="505">
        <f t="shared" si="74"/>
        <v>8.2490015699259178</v>
      </c>
      <c r="IT11" s="505">
        <f t="shared" si="74"/>
        <v>6.3954741329260933</v>
      </c>
      <c r="IU11" s="505">
        <f t="shared" si="74"/>
        <v>0.7273791653986228</v>
      </c>
      <c r="IV11" s="505">
        <f t="shared" si="74"/>
        <v>9.184285621957077</v>
      </c>
      <c r="IW11" s="505">
        <f t="shared" si="74"/>
        <v>6.9448863542117545</v>
      </c>
      <c r="IX11" s="505">
        <f t="shared" si="74"/>
        <v>6.9384806003313315</v>
      </c>
      <c r="IY11" s="474">
        <f t="shared" ref="IY11:JE11" si="75">(IY10/IL10-1)*100</f>
        <v>6.6224836201293158</v>
      </c>
      <c r="IZ11" s="505">
        <f t="shared" si="75"/>
        <v>1.617072933629804</v>
      </c>
      <c r="JA11" s="505">
        <f t="shared" si="75"/>
        <v>3.2788303971110322</v>
      </c>
      <c r="JB11" s="505">
        <f t="shared" si="75"/>
        <v>2.0676826834690409</v>
      </c>
      <c r="JC11" s="505">
        <f t="shared" si="75"/>
        <v>4.4242100684146024</v>
      </c>
      <c r="JD11" s="505">
        <f t="shared" si="75"/>
        <v>8.2058602826251317</v>
      </c>
      <c r="JE11" s="505">
        <f t="shared" si="75"/>
        <v>5.1543803850419678</v>
      </c>
      <c r="JF11" s="505">
        <f>(JF10/5412-1)*100</f>
        <v>4.8965262379896624</v>
      </c>
      <c r="JG11" s="505">
        <f>(JG10/4581-1)*100</f>
        <v>3.3617114167212359</v>
      </c>
      <c r="JH11" s="505">
        <f>(JH10/5286-1)*100</f>
        <v>2.156640181611813</v>
      </c>
      <c r="JI11" s="505">
        <f>(JI10/5507-1)*100</f>
        <v>5.9560559288178716</v>
      </c>
      <c r="JJ11" s="505">
        <f>(JJ10/5674-1)*100</f>
        <v>-7.0497003877334485E-2</v>
      </c>
      <c r="JK11" s="505">
        <f>(JK10/5346-1)*100</f>
        <v>-0.5050505050505083</v>
      </c>
      <c r="JL11" s="513">
        <f>(JL10/62215-1)*100</f>
        <v>3.3255645744595386</v>
      </c>
      <c r="JM11" s="505">
        <f>(JM10/4631-1)*100</f>
        <v>2.1593608291945676</v>
      </c>
      <c r="JN11" s="569">
        <f>(JN10/5346-1)*100</f>
        <v>4.7138047138047146</v>
      </c>
    </row>
    <row r="12" spans="1:274" ht="13.5" customHeight="1" x14ac:dyDescent="0.3">
      <c r="A12" s="542" t="s">
        <v>133</v>
      </c>
      <c r="B12" s="64" t="s">
        <v>103</v>
      </c>
      <c r="C12" s="59">
        <v>6076</v>
      </c>
      <c r="D12" s="25">
        <v>6575</v>
      </c>
      <c r="E12" s="26">
        <v>6725</v>
      </c>
      <c r="F12" s="25">
        <v>5847</v>
      </c>
      <c r="G12" s="26">
        <v>4911</v>
      </c>
      <c r="H12" s="25">
        <v>4794</v>
      </c>
      <c r="I12" s="26">
        <v>5009</v>
      </c>
      <c r="J12" s="25">
        <v>5019</v>
      </c>
      <c r="K12" s="26">
        <v>5343</v>
      </c>
      <c r="L12" s="25">
        <v>4596</v>
      </c>
      <c r="M12" s="26">
        <v>4542</v>
      </c>
      <c r="N12" s="66">
        <f>SUM(AA12:AL12)</f>
        <v>5046</v>
      </c>
      <c r="O12" s="26">
        <v>331</v>
      </c>
      <c r="P12" s="25">
        <v>418</v>
      </c>
      <c r="Q12" s="25">
        <v>393</v>
      </c>
      <c r="R12" s="25">
        <v>374</v>
      </c>
      <c r="S12" s="25">
        <v>338</v>
      </c>
      <c r="T12" s="25">
        <v>385</v>
      </c>
      <c r="U12" s="25">
        <v>395</v>
      </c>
      <c r="V12" s="25">
        <v>336</v>
      </c>
      <c r="W12" s="25">
        <v>381</v>
      </c>
      <c r="X12" s="25">
        <v>399</v>
      </c>
      <c r="Y12" s="25">
        <v>408</v>
      </c>
      <c r="Z12" s="25">
        <v>384</v>
      </c>
      <c r="AA12" s="26">
        <v>351</v>
      </c>
      <c r="AB12" s="26">
        <v>411</v>
      </c>
      <c r="AC12" s="26">
        <v>439</v>
      </c>
      <c r="AD12" s="26">
        <v>424</v>
      </c>
      <c r="AE12" s="26">
        <v>422</v>
      </c>
      <c r="AF12" s="26">
        <v>465</v>
      </c>
      <c r="AG12" s="26">
        <v>420</v>
      </c>
      <c r="AH12" s="26">
        <v>383</v>
      </c>
      <c r="AI12" s="26">
        <v>429</v>
      </c>
      <c r="AJ12" s="26">
        <v>438</v>
      </c>
      <c r="AK12" s="26">
        <v>445</v>
      </c>
      <c r="AL12" s="90">
        <v>419</v>
      </c>
      <c r="AM12" s="129">
        <f>SUM(AN12:AY12)</f>
        <v>4381</v>
      </c>
      <c r="AN12" s="119">
        <v>354</v>
      </c>
      <c r="AO12" s="26">
        <v>411</v>
      </c>
      <c r="AP12" s="90">
        <v>411</v>
      </c>
      <c r="AQ12" s="29">
        <v>393</v>
      </c>
      <c r="AR12" s="29">
        <v>348</v>
      </c>
      <c r="AS12" s="28">
        <v>374</v>
      </c>
      <c r="AT12" s="29">
        <v>361</v>
      </c>
      <c r="AU12" s="28">
        <v>321</v>
      </c>
      <c r="AV12" s="29">
        <v>355</v>
      </c>
      <c r="AW12" s="28">
        <v>365</v>
      </c>
      <c r="AX12" s="29">
        <v>348</v>
      </c>
      <c r="AY12" s="100">
        <v>340</v>
      </c>
      <c r="AZ12" s="137">
        <f>SUM(BA12:BL12)</f>
        <v>4506</v>
      </c>
      <c r="BA12" s="12">
        <v>295</v>
      </c>
      <c r="BB12" s="14">
        <v>357</v>
      </c>
      <c r="BC12" s="14">
        <v>349</v>
      </c>
      <c r="BD12" s="14">
        <v>365</v>
      </c>
      <c r="BE12" s="14">
        <v>349</v>
      </c>
      <c r="BF12" s="14">
        <v>377</v>
      </c>
      <c r="BG12" s="14">
        <v>401</v>
      </c>
      <c r="BH12" s="14">
        <v>345</v>
      </c>
      <c r="BI12" s="14">
        <v>413</v>
      </c>
      <c r="BJ12" s="14">
        <v>418</v>
      </c>
      <c r="BK12" s="14">
        <v>416</v>
      </c>
      <c r="BL12" s="14">
        <v>421</v>
      </c>
      <c r="BM12" s="14">
        <v>371</v>
      </c>
      <c r="BN12" s="14">
        <v>429</v>
      </c>
      <c r="BO12" s="14">
        <v>425</v>
      </c>
      <c r="BP12" s="14">
        <v>414</v>
      </c>
      <c r="BQ12" s="14">
        <v>393</v>
      </c>
      <c r="BR12" s="14">
        <v>450</v>
      </c>
      <c r="BS12" s="14">
        <v>449</v>
      </c>
      <c r="BT12" s="14">
        <v>380</v>
      </c>
      <c r="BU12" s="14">
        <v>460</v>
      </c>
      <c r="BV12" s="14">
        <v>477</v>
      </c>
      <c r="BW12" s="14">
        <v>445</v>
      </c>
      <c r="BX12" s="14">
        <v>464</v>
      </c>
      <c r="BY12" s="110">
        <f>SUM(BM12:BX12)</f>
        <v>5157</v>
      </c>
      <c r="BZ12" s="14">
        <v>408</v>
      </c>
      <c r="CA12" s="14">
        <v>459</v>
      </c>
      <c r="CB12" s="14">
        <v>482</v>
      </c>
      <c r="CC12" s="14">
        <v>493</v>
      </c>
      <c r="CD12" s="147">
        <v>440</v>
      </c>
      <c r="CE12" s="154">
        <v>491</v>
      </c>
      <c r="CF12" s="154">
        <v>484</v>
      </c>
      <c r="CG12" s="154">
        <v>465</v>
      </c>
      <c r="CH12" s="154">
        <v>489</v>
      </c>
      <c r="CI12" s="154">
        <v>474</v>
      </c>
      <c r="CJ12" s="259">
        <v>499.43099999999998</v>
      </c>
      <c r="CK12" s="369">
        <v>491</v>
      </c>
      <c r="CL12" s="102">
        <f>SUM(BZ12:CK12)</f>
        <v>5675.4309999999996</v>
      </c>
      <c r="CM12" s="285">
        <v>403</v>
      </c>
      <c r="CN12" s="286">
        <v>479</v>
      </c>
      <c r="CO12" s="286">
        <v>498</v>
      </c>
      <c r="CP12" s="323">
        <v>509</v>
      </c>
      <c r="CQ12" s="323">
        <v>450</v>
      </c>
      <c r="CR12" s="323">
        <v>535</v>
      </c>
      <c r="CS12" s="323">
        <v>520</v>
      </c>
      <c r="CT12" s="323">
        <v>463</v>
      </c>
      <c r="CU12" s="323">
        <v>525</v>
      </c>
      <c r="CV12" s="323">
        <v>510</v>
      </c>
      <c r="CW12" s="323">
        <v>525</v>
      </c>
      <c r="CX12" s="313">
        <v>523</v>
      </c>
      <c r="CY12" s="102">
        <f>SUM(CM12:CX12)</f>
        <v>5940</v>
      </c>
      <c r="CZ12" s="323">
        <v>450</v>
      </c>
      <c r="DA12" s="323">
        <v>491</v>
      </c>
      <c r="DB12" s="323">
        <v>538</v>
      </c>
      <c r="DC12" s="323">
        <v>521</v>
      </c>
      <c r="DD12" s="323">
        <v>471</v>
      </c>
      <c r="DE12" s="323">
        <v>539</v>
      </c>
      <c r="DF12" s="323">
        <v>527</v>
      </c>
      <c r="DG12" s="323">
        <v>470</v>
      </c>
      <c r="DH12" s="323">
        <v>540</v>
      </c>
      <c r="DI12" s="323">
        <v>536</v>
      </c>
      <c r="DJ12" s="323">
        <v>546</v>
      </c>
      <c r="DK12" s="323">
        <v>530</v>
      </c>
      <c r="DL12" s="102">
        <f>SUM(CZ12:DK12)</f>
        <v>6159</v>
      </c>
      <c r="DM12" s="323">
        <v>475</v>
      </c>
      <c r="DN12" s="323">
        <v>541</v>
      </c>
      <c r="DO12" s="323">
        <v>566</v>
      </c>
      <c r="DP12" s="323">
        <v>530</v>
      </c>
      <c r="DQ12" s="323">
        <v>536</v>
      </c>
      <c r="DR12" s="323">
        <v>558</v>
      </c>
      <c r="DS12" s="323">
        <v>562</v>
      </c>
      <c r="DT12" s="323">
        <v>469</v>
      </c>
      <c r="DU12" s="323">
        <v>541</v>
      </c>
      <c r="DV12" s="323">
        <v>571</v>
      </c>
      <c r="DW12" s="323">
        <v>556</v>
      </c>
      <c r="DX12" s="286">
        <v>534</v>
      </c>
      <c r="DY12" s="306">
        <f>SUM(DM12:DX12)</f>
        <v>6439</v>
      </c>
      <c r="DZ12" s="319">
        <v>453</v>
      </c>
      <c r="EA12" s="319">
        <v>541</v>
      </c>
      <c r="EB12" s="319">
        <v>540</v>
      </c>
      <c r="EC12" s="319">
        <v>535</v>
      </c>
      <c r="ED12" s="319">
        <v>493</v>
      </c>
      <c r="EE12" s="319">
        <v>543</v>
      </c>
      <c r="EF12" s="319">
        <v>554</v>
      </c>
      <c r="EG12" s="319">
        <v>432</v>
      </c>
      <c r="EH12" s="319">
        <v>535</v>
      </c>
      <c r="EI12" s="319">
        <v>522</v>
      </c>
      <c r="EJ12" s="319">
        <v>458</v>
      </c>
      <c r="EK12" s="319">
        <v>383</v>
      </c>
      <c r="EL12" s="306">
        <f>SUM(DZ12:EK12)</f>
        <v>5989</v>
      </c>
      <c r="EM12" s="319">
        <v>265</v>
      </c>
      <c r="EN12" s="319">
        <v>253</v>
      </c>
      <c r="EO12" s="319">
        <v>245</v>
      </c>
      <c r="EP12" s="319">
        <v>253.68799999999999</v>
      </c>
      <c r="EQ12" s="319">
        <v>223.90600000000001</v>
      </c>
      <c r="ER12" s="319">
        <v>284.78899999999999</v>
      </c>
      <c r="ES12" s="319">
        <v>289.30900000000003</v>
      </c>
      <c r="ET12" s="319">
        <v>255.16800000000001</v>
      </c>
      <c r="EU12" s="319">
        <v>314.12599999999998</v>
      </c>
      <c r="EV12" s="319">
        <v>341.411</v>
      </c>
      <c r="EW12" s="319">
        <v>357.90499999999997</v>
      </c>
      <c r="EX12" s="319">
        <v>350.98</v>
      </c>
      <c r="EY12" s="306">
        <f>SUM(EM12:EX12)</f>
        <v>3434.2819999999997</v>
      </c>
      <c r="EZ12" s="319">
        <v>331.608</v>
      </c>
      <c r="FA12" s="319">
        <v>393.73399999999998</v>
      </c>
      <c r="FB12" s="319">
        <v>415.63600000000002</v>
      </c>
      <c r="FC12" s="319">
        <v>391.01600000000002</v>
      </c>
      <c r="FD12" s="319">
        <v>347.971</v>
      </c>
      <c r="FE12" s="319">
        <v>425.97</v>
      </c>
      <c r="FF12" s="319">
        <v>428.928</v>
      </c>
      <c r="FG12" s="319">
        <v>369.40199999999999</v>
      </c>
      <c r="FH12" s="319">
        <v>430.15899999999999</v>
      </c>
      <c r="FI12" s="319">
        <v>429.22300000000001</v>
      </c>
      <c r="FJ12" s="319">
        <v>448.69799999999998</v>
      </c>
      <c r="FK12" s="319">
        <v>434.88099999999997</v>
      </c>
      <c r="FL12" s="306">
        <f>SUM(EZ12:FK12)</f>
        <v>4847.2260000000006</v>
      </c>
      <c r="FM12" s="319">
        <v>393.48899999999998</v>
      </c>
      <c r="FN12" s="319">
        <v>449.01799999999997</v>
      </c>
      <c r="FO12" s="319">
        <v>450.971</v>
      </c>
      <c r="FP12" s="319">
        <v>431.49200000000002</v>
      </c>
      <c r="FQ12" s="319">
        <v>355.06299999999999</v>
      </c>
      <c r="FR12" s="319">
        <v>451.00099999999998</v>
      </c>
      <c r="FS12" s="319">
        <v>455.59</v>
      </c>
      <c r="FT12" s="319">
        <v>411.12299999999999</v>
      </c>
      <c r="FU12" s="319">
        <v>475.92399999999998</v>
      </c>
      <c r="FV12" s="319">
        <v>492.61099999999999</v>
      </c>
      <c r="FW12" s="319">
        <v>479.166</v>
      </c>
      <c r="FX12" s="319">
        <v>452.86700000000002</v>
      </c>
      <c r="FY12" s="306">
        <f>SUM(FM12:FX12)</f>
        <v>5298.3150000000005</v>
      </c>
      <c r="FZ12" s="319">
        <v>396.036</v>
      </c>
      <c r="GA12" s="319">
        <v>458.92599999999999</v>
      </c>
      <c r="GB12" s="319">
        <v>466.85399999999998</v>
      </c>
      <c r="GC12" s="319">
        <v>445.63400000000001</v>
      </c>
      <c r="GD12" s="319">
        <v>402.83699999999999</v>
      </c>
      <c r="GE12" s="319">
        <v>459.22800000000001</v>
      </c>
      <c r="GF12" s="319">
        <v>439.26600000000002</v>
      </c>
      <c r="GG12" s="319">
        <v>353.26499999999999</v>
      </c>
      <c r="GH12" s="319">
        <v>398.637</v>
      </c>
      <c r="GI12" s="319">
        <v>414.41699999999997</v>
      </c>
      <c r="GJ12" s="319">
        <v>376.99700000000001</v>
      </c>
      <c r="GK12" s="319">
        <v>345.93200000000002</v>
      </c>
      <c r="GL12" s="420">
        <f>SUM(FZ12:GK12)</f>
        <v>4958.0290000000005</v>
      </c>
      <c r="GM12" s="319">
        <v>376.815</v>
      </c>
      <c r="GN12" s="319">
        <v>379.036</v>
      </c>
      <c r="GO12" s="319">
        <v>375.73200000000003</v>
      </c>
      <c r="GP12" s="319">
        <v>386.48</v>
      </c>
      <c r="GQ12" s="319">
        <v>352.03</v>
      </c>
      <c r="GR12" s="319">
        <v>388.33199999999999</v>
      </c>
      <c r="GS12" s="319">
        <v>419.495</v>
      </c>
      <c r="GT12" s="319">
        <v>340.36500000000001</v>
      </c>
      <c r="GU12" s="319">
        <v>421.53899999999999</v>
      </c>
      <c r="GV12" s="319">
        <v>433.01100000000002</v>
      </c>
      <c r="GW12" s="319">
        <v>419.90899999999999</v>
      </c>
      <c r="GX12" s="319">
        <v>418.26100000000002</v>
      </c>
      <c r="GY12" s="420">
        <f>SUM(GM12:GX12)</f>
        <v>4711.0050000000001</v>
      </c>
      <c r="GZ12" s="319">
        <v>472.90499999999997</v>
      </c>
      <c r="HA12" s="319">
        <v>412.59300000000002</v>
      </c>
      <c r="HB12" s="319">
        <v>450.536</v>
      </c>
      <c r="HC12" s="319">
        <v>436.69299999999998</v>
      </c>
      <c r="HD12" s="319">
        <v>409.28800000000001</v>
      </c>
      <c r="HE12" s="319">
        <v>476.81299999999999</v>
      </c>
      <c r="HF12" s="319">
        <v>476.51</v>
      </c>
      <c r="HG12" s="319">
        <v>371.017</v>
      </c>
      <c r="HH12" s="319">
        <v>469.505</v>
      </c>
      <c r="HI12" s="319">
        <v>461.53800000000001</v>
      </c>
      <c r="HJ12" s="319">
        <v>429.83499999999998</v>
      </c>
      <c r="HK12" s="319">
        <v>430.13600000000002</v>
      </c>
      <c r="HL12" s="420">
        <f>SUM(GZ12:HK12)</f>
        <v>5297.3690000000015</v>
      </c>
      <c r="HM12" s="319">
        <v>399.43700000000001</v>
      </c>
      <c r="HN12" s="285">
        <v>441.55599999999998</v>
      </c>
      <c r="HO12" s="306">
        <v>440.51400000000001</v>
      </c>
      <c r="HP12" s="425">
        <v>456.62</v>
      </c>
      <c r="HQ12" s="432">
        <v>352.721</v>
      </c>
      <c r="HR12" s="432">
        <v>430.79500000000002</v>
      </c>
      <c r="HS12" s="432">
        <v>425.08300000000003</v>
      </c>
      <c r="HT12" s="432">
        <v>336.66</v>
      </c>
      <c r="HU12" s="432">
        <v>427.24299999999999</v>
      </c>
      <c r="HV12" s="432">
        <v>412.06700000000001</v>
      </c>
      <c r="HW12" s="432">
        <v>410.16699999999997</v>
      </c>
      <c r="HX12" s="432">
        <v>373.01799999999997</v>
      </c>
      <c r="HY12" s="473">
        <f>SUM(HM12:HX12)</f>
        <v>4905.8810000000003</v>
      </c>
      <c r="HZ12" s="467">
        <v>341707</v>
      </c>
      <c r="IA12" s="467">
        <v>418127</v>
      </c>
      <c r="IB12" s="467">
        <v>425152</v>
      </c>
      <c r="IC12" s="467">
        <v>412723</v>
      </c>
      <c r="ID12" s="467">
        <v>342724</v>
      </c>
      <c r="IE12" s="467">
        <v>433210</v>
      </c>
      <c r="IF12" s="467">
        <v>418570</v>
      </c>
      <c r="IG12" s="467">
        <v>361404</v>
      </c>
      <c r="IH12" s="467">
        <v>432728</v>
      </c>
      <c r="II12" s="467">
        <v>423426</v>
      </c>
      <c r="IJ12" s="467">
        <v>432327</v>
      </c>
      <c r="IK12" s="467">
        <v>430803</v>
      </c>
      <c r="IL12" s="468">
        <f>SUM(HZ12:IK12)</f>
        <v>4872901</v>
      </c>
      <c r="IM12" s="467">
        <v>371926</v>
      </c>
      <c r="IN12" s="467">
        <v>407563</v>
      </c>
      <c r="IO12" s="467">
        <v>421512</v>
      </c>
      <c r="IP12" s="467">
        <v>412416</v>
      </c>
      <c r="IQ12" s="467">
        <v>355025</v>
      </c>
      <c r="IR12" s="467">
        <v>452687</v>
      </c>
      <c r="IS12" s="467">
        <v>428859</v>
      </c>
      <c r="IT12" s="467">
        <v>358616</v>
      </c>
      <c r="IU12" s="467">
        <v>401923</v>
      </c>
      <c r="IV12" s="467">
        <v>425476</v>
      </c>
      <c r="IW12" s="467">
        <v>424619</v>
      </c>
      <c r="IX12" s="467">
        <v>435559</v>
      </c>
      <c r="IY12" s="468">
        <f>SUM(IM12:IX12)</f>
        <v>4896181</v>
      </c>
      <c r="IZ12" s="467">
        <v>365442</v>
      </c>
      <c r="JA12" s="467">
        <v>434739</v>
      </c>
      <c r="JB12" s="467">
        <v>366550</v>
      </c>
      <c r="JC12" s="467">
        <v>376527</v>
      </c>
      <c r="JD12" s="467">
        <v>326777</v>
      </c>
      <c r="JE12" s="467">
        <v>380390</v>
      </c>
      <c r="JF12" s="520">
        <v>382</v>
      </c>
      <c r="JG12" s="520">
        <v>302</v>
      </c>
      <c r="JH12" s="520">
        <v>433</v>
      </c>
      <c r="JI12" s="520">
        <v>390</v>
      </c>
      <c r="JJ12" s="520">
        <v>379</v>
      </c>
      <c r="JK12" s="520">
        <v>339</v>
      </c>
      <c r="JL12" s="525">
        <v>4476</v>
      </c>
      <c r="JM12" s="412">
        <v>343</v>
      </c>
      <c r="JN12" s="568">
        <v>414</v>
      </c>
    </row>
    <row r="13" spans="1:274" ht="13.5" customHeight="1" thickBot="1" x14ac:dyDescent="0.35">
      <c r="A13" s="551"/>
      <c r="B13" s="65" t="s">
        <v>102</v>
      </c>
      <c r="C13" s="67"/>
      <c r="D13" s="60">
        <f t="shared" ref="D13:M13" si="76">(D12/C12-1)*100</f>
        <v>8.2126398946675394</v>
      </c>
      <c r="E13" s="60">
        <f t="shared" si="76"/>
        <v>2.281368821292773</v>
      </c>
      <c r="F13" s="60">
        <f t="shared" si="76"/>
        <v>-13.055762081784383</v>
      </c>
      <c r="G13" s="60">
        <f t="shared" si="76"/>
        <v>-16.008209338122114</v>
      </c>
      <c r="H13" s="60">
        <f t="shared" si="76"/>
        <v>-2.3824068417837463</v>
      </c>
      <c r="I13" s="60">
        <f t="shared" si="76"/>
        <v>4.4847726324572346</v>
      </c>
      <c r="J13" s="60">
        <f t="shared" si="76"/>
        <v>0.19964064683568594</v>
      </c>
      <c r="K13" s="60">
        <f t="shared" si="76"/>
        <v>6.4554692169754846</v>
      </c>
      <c r="L13" s="60">
        <f t="shared" si="76"/>
        <v>-13.980909601347557</v>
      </c>
      <c r="M13" s="60">
        <f t="shared" si="76"/>
        <v>-1.1749347258485643</v>
      </c>
      <c r="N13" s="60">
        <f>(N12/M12-1)*100</f>
        <v>11.096433289299878</v>
      </c>
      <c r="O13" s="61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/>
      <c r="AA13" s="60">
        <f t="shared" ref="AA13:AL13" si="77">(AA12/O12-1)*100</f>
        <v>6.042296072507547</v>
      </c>
      <c r="AB13" s="60">
        <f t="shared" si="77"/>
        <v>-1.674641148325362</v>
      </c>
      <c r="AC13" s="60">
        <f t="shared" si="77"/>
        <v>11.70483460559797</v>
      </c>
      <c r="AD13" s="60">
        <f t="shared" si="77"/>
        <v>13.36898395721926</v>
      </c>
      <c r="AE13" s="60">
        <f t="shared" si="77"/>
        <v>24.852071005917153</v>
      </c>
      <c r="AF13" s="60">
        <f t="shared" si="77"/>
        <v>20.779220779220786</v>
      </c>
      <c r="AG13" s="60">
        <f t="shared" si="77"/>
        <v>6.3291139240506222</v>
      </c>
      <c r="AH13" s="60">
        <f t="shared" si="77"/>
        <v>13.988095238095234</v>
      </c>
      <c r="AI13" s="60">
        <f t="shared" si="77"/>
        <v>12.598425196850393</v>
      </c>
      <c r="AJ13" s="60">
        <f t="shared" si="77"/>
        <v>9.7744360902255689</v>
      </c>
      <c r="AK13" s="60">
        <f t="shared" si="77"/>
        <v>9.068627450980383</v>
      </c>
      <c r="AL13" s="84">
        <f t="shared" si="77"/>
        <v>9.114583333333325</v>
      </c>
      <c r="AM13" s="60">
        <f>(AM12/N12-1)*100</f>
        <v>-13.17875544986128</v>
      </c>
      <c r="AN13" s="121">
        <f t="shared" ref="AN13:BL13" si="78">(AN12/AA12-1)*100</f>
        <v>0.85470085470085166</v>
      </c>
      <c r="AO13" s="60">
        <f t="shared" si="78"/>
        <v>0</v>
      </c>
      <c r="AP13" s="84">
        <f t="shared" si="78"/>
        <v>-6.3781321184510293</v>
      </c>
      <c r="AQ13" s="60">
        <f t="shared" si="78"/>
        <v>-7.3113207547169772</v>
      </c>
      <c r="AR13" s="60">
        <f t="shared" si="78"/>
        <v>-17.535545023696685</v>
      </c>
      <c r="AS13" s="82">
        <f t="shared" si="78"/>
        <v>-19.569892473118276</v>
      </c>
      <c r="AT13" s="60">
        <f t="shared" si="78"/>
        <v>-14.047619047619042</v>
      </c>
      <c r="AU13" s="82">
        <f t="shared" si="78"/>
        <v>-16.187989556135772</v>
      </c>
      <c r="AV13" s="60">
        <f t="shared" si="78"/>
        <v>-17.249417249417252</v>
      </c>
      <c r="AW13" s="82">
        <f t="shared" si="78"/>
        <v>-16.666666666666664</v>
      </c>
      <c r="AX13" s="60">
        <f t="shared" si="78"/>
        <v>-21.797752808988768</v>
      </c>
      <c r="AY13" s="83">
        <f t="shared" si="78"/>
        <v>-18.854415274463008</v>
      </c>
      <c r="AZ13" s="127">
        <f t="shared" si="78"/>
        <v>2.8532298561972258</v>
      </c>
      <c r="BA13" s="124">
        <f t="shared" si="78"/>
        <v>-16.666666666666664</v>
      </c>
      <c r="BB13" s="32">
        <f t="shared" si="78"/>
        <v>-13.138686131386857</v>
      </c>
      <c r="BC13" s="32">
        <f t="shared" si="78"/>
        <v>-15.085158150851585</v>
      </c>
      <c r="BD13" s="32">
        <f t="shared" si="78"/>
        <v>-7.1246819338422362</v>
      </c>
      <c r="BE13" s="32">
        <f t="shared" si="78"/>
        <v>0.28735632183907178</v>
      </c>
      <c r="BF13" s="32">
        <f t="shared" si="78"/>
        <v>0.80213903743315829</v>
      </c>
      <c r="BG13" s="32">
        <f t="shared" si="78"/>
        <v>11.080332409972304</v>
      </c>
      <c r="BH13" s="32">
        <f t="shared" si="78"/>
        <v>7.4766355140186924</v>
      </c>
      <c r="BI13" s="32">
        <f t="shared" si="78"/>
        <v>16.338028169014084</v>
      </c>
      <c r="BJ13" s="32">
        <f t="shared" si="78"/>
        <v>14.520547945205475</v>
      </c>
      <c r="BK13" s="32">
        <f t="shared" si="78"/>
        <v>19.540229885057482</v>
      </c>
      <c r="BL13" s="32">
        <f t="shared" si="78"/>
        <v>23.82352941176471</v>
      </c>
      <c r="BM13" s="32">
        <f t="shared" ref="BM13:BX13" si="79">(BM12/BA12-1)*100</f>
        <v>25.762711864406775</v>
      </c>
      <c r="BN13" s="32">
        <f t="shared" si="79"/>
        <v>20.168067226890752</v>
      </c>
      <c r="BO13" s="32">
        <f t="shared" si="79"/>
        <v>21.776504297994272</v>
      </c>
      <c r="BP13" s="32">
        <f t="shared" si="79"/>
        <v>13.424657534246576</v>
      </c>
      <c r="BQ13" s="32">
        <f t="shared" si="79"/>
        <v>12.60744985673352</v>
      </c>
      <c r="BR13" s="32">
        <f t="shared" si="79"/>
        <v>19.363395225464195</v>
      </c>
      <c r="BS13" s="32">
        <f t="shared" si="79"/>
        <v>11.97007481296759</v>
      </c>
      <c r="BT13" s="32">
        <f t="shared" si="79"/>
        <v>10.144927536231885</v>
      </c>
      <c r="BU13" s="32">
        <f t="shared" si="79"/>
        <v>11.380145278450371</v>
      </c>
      <c r="BV13" s="32">
        <f t="shared" si="79"/>
        <v>14.114832535885169</v>
      </c>
      <c r="BW13" s="32">
        <f t="shared" si="79"/>
        <v>6.9711538461538547</v>
      </c>
      <c r="BX13" s="32">
        <f t="shared" si="79"/>
        <v>10.213776722090252</v>
      </c>
      <c r="BY13" s="127">
        <f>(BY12/AZ12-1)*100</f>
        <v>14.447403462050602</v>
      </c>
      <c r="BZ13" s="32">
        <f t="shared" ref="BZ13:CK13" si="80">(BZ12/BM12-1)*100</f>
        <v>9.9730458221024332</v>
      </c>
      <c r="CA13" s="32">
        <f t="shared" si="80"/>
        <v>6.9930069930070005</v>
      </c>
      <c r="CB13" s="32">
        <f t="shared" si="80"/>
        <v>13.411764705882344</v>
      </c>
      <c r="CC13" s="32">
        <f t="shared" si="80"/>
        <v>19.082125603864732</v>
      </c>
      <c r="CD13" s="32">
        <f t="shared" si="80"/>
        <v>11.959287531806616</v>
      </c>
      <c r="CE13" s="89">
        <f t="shared" si="80"/>
        <v>9.1111111111111143</v>
      </c>
      <c r="CF13" s="89">
        <f t="shared" si="80"/>
        <v>7.795100222717144</v>
      </c>
      <c r="CG13" s="89">
        <f t="shared" si="80"/>
        <v>22.368421052631572</v>
      </c>
      <c r="CH13" s="89">
        <f t="shared" si="80"/>
        <v>6.3043478260869534</v>
      </c>
      <c r="CI13" s="89">
        <f t="shared" si="80"/>
        <v>-0.62893081761006275</v>
      </c>
      <c r="CJ13" s="258">
        <f t="shared" si="80"/>
        <v>12.231685393258429</v>
      </c>
      <c r="CK13" s="368">
        <f t="shared" si="80"/>
        <v>5.8189655172413701</v>
      </c>
      <c r="CL13" s="83">
        <f t="shared" ref="CL13:EL13" si="81">(CL12/BY12-1)*100</f>
        <v>10.052957145627284</v>
      </c>
      <c r="CM13" s="303">
        <f t="shared" si="81"/>
        <v>-1.225490196078427</v>
      </c>
      <c r="CN13" s="304">
        <f t="shared" si="81"/>
        <v>4.3572984749455257</v>
      </c>
      <c r="CO13" s="304">
        <f t="shared" si="81"/>
        <v>3.3195020746888071</v>
      </c>
      <c r="CP13" s="379">
        <f t="shared" si="81"/>
        <v>3.2454361054766734</v>
      </c>
      <c r="CQ13" s="379">
        <f t="shared" si="81"/>
        <v>2.2727272727272707</v>
      </c>
      <c r="CR13" s="379">
        <f t="shared" si="81"/>
        <v>8.9613034623218013</v>
      </c>
      <c r="CS13" s="379">
        <f t="shared" si="81"/>
        <v>7.4380165289256173</v>
      </c>
      <c r="CT13" s="379">
        <f t="shared" si="81"/>
        <v>-0.43010752688171783</v>
      </c>
      <c r="CU13" s="379">
        <f t="shared" si="81"/>
        <v>7.361963190184051</v>
      </c>
      <c r="CV13" s="379">
        <f t="shared" si="81"/>
        <v>7.5949367088607556</v>
      </c>
      <c r="CW13" s="379">
        <f t="shared" si="81"/>
        <v>5.1196261345411109</v>
      </c>
      <c r="CX13" s="375">
        <f t="shared" si="81"/>
        <v>6.5173116089612959</v>
      </c>
      <c r="CY13" s="83">
        <f t="shared" si="81"/>
        <v>4.6616547712411638</v>
      </c>
      <c r="CZ13" s="379">
        <f t="shared" si="81"/>
        <v>11.662531017369737</v>
      </c>
      <c r="DA13" s="379">
        <f t="shared" si="81"/>
        <v>2.5052192066805867</v>
      </c>
      <c r="DB13" s="379">
        <f t="shared" si="81"/>
        <v>8.032128514056236</v>
      </c>
      <c r="DC13" s="379">
        <f t="shared" si="81"/>
        <v>2.3575638506876162</v>
      </c>
      <c r="DD13" s="379">
        <f t="shared" si="81"/>
        <v>4.6666666666666634</v>
      </c>
      <c r="DE13" s="379">
        <f t="shared" si="81"/>
        <v>0.74766355140187812</v>
      </c>
      <c r="DF13" s="379">
        <f t="shared" si="81"/>
        <v>1.3461538461538414</v>
      </c>
      <c r="DG13" s="379">
        <f t="shared" si="81"/>
        <v>1.5118790496760237</v>
      </c>
      <c r="DH13" s="379">
        <f t="shared" si="81"/>
        <v>2.857142857142847</v>
      </c>
      <c r="DI13" s="379">
        <f t="shared" si="81"/>
        <v>5.0980392156862786</v>
      </c>
      <c r="DJ13" s="379">
        <f t="shared" si="81"/>
        <v>4.0000000000000036</v>
      </c>
      <c r="DK13" s="379">
        <f t="shared" si="81"/>
        <v>1.3384321223709472</v>
      </c>
      <c r="DL13" s="83">
        <f t="shared" si="81"/>
        <v>3.686868686868694</v>
      </c>
      <c r="DM13" s="379">
        <f t="shared" si="81"/>
        <v>5.555555555555558</v>
      </c>
      <c r="DN13" s="379">
        <f t="shared" si="81"/>
        <v>10.183299389002043</v>
      </c>
      <c r="DO13" s="379">
        <f t="shared" si="81"/>
        <v>5.2044609665427455</v>
      </c>
      <c r="DP13" s="379">
        <f t="shared" si="81"/>
        <v>1.7274472168905985</v>
      </c>
      <c r="DQ13" s="379">
        <f t="shared" si="81"/>
        <v>13.800424628450102</v>
      </c>
      <c r="DR13" s="379">
        <f t="shared" si="81"/>
        <v>3.5250463821892453</v>
      </c>
      <c r="DS13" s="379">
        <f t="shared" si="81"/>
        <v>6.6413662239089177</v>
      </c>
      <c r="DT13" s="379">
        <f t="shared" si="81"/>
        <v>-0.21276595744680327</v>
      </c>
      <c r="DU13" s="379">
        <f t="shared" si="81"/>
        <v>0.18518518518517713</v>
      </c>
      <c r="DV13" s="379">
        <f t="shared" si="81"/>
        <v>6.5298507462686617</v>
      </c>
      <c r="DW13" s="379">
        <f t="shared" si="81"/>
        <v>1.831501831501825</v>
      </c>
      <c r="DX13" s="304">
        <f t="shared" si="81"/>
        <v>0.7547169811320753</v>
      </c>
      <c r="DY13" s="394">
        <f t="shared" si="81"/>
        <v>4.5461925637278799</v>
      </c>
      <c r="DZ13" s="398">
        <f t="shared" si="81"/>
        <v>-4.6315789473684195</v>
      </c>
      <c r="EA13" s="398">
        <f t="shared" si="81"/>
        <v>0</v>
      </c>
      <c r="EB13" s="398">
        <f t="shared" si="81"/>
        <v>-4.5936395759717303</v>
      </c>
      <c r="EC13" s="398">
        <f t="shared" si="81"/>
        <v>0.94339622641510523</v>
      </c>
      <c r="ED13" s="398">
        <f t="shared" si="81"/>
        <v>-8.0223880597014912</v>
      </c>
      <c r="EE13" s="398">
        <f t="shared" si="81"/>
        <v>-2.6881720430107503</v>
      </c>
      <c r="EF13" s="398">
        <f t="shared" si="81"/>
        <v>-1.4234875444839812</v>
      </c>
      <c r="EG13" s="398">
        <f t="shared" si="81"/>
        <v>-7.8891257995735593</v>
      </c>
      <c r="EH13" s="398">
        <f t="shared" si="81"/>
        <v>-1.1090573012939031</v>
      </c>
      <c r="EI13" s="398">
        <f t="shared" si="81"/>
        <v>-8.5814360770577913</v>
      </c>
      <c r="EJ13" s="398">
        <f t="shared" si="81"/>
        <v>-17.625899280575542</v>
      </c>
      <c r="EK13" s="398">
        <f t="shared" si="81"/>
        <v>-28.277153558052436</v>
      </c>
      <c r="EL13" s="394">
        <f t="shared" si="81"/>
        <v>-6.9886628358440728</v>
      </c>
      <c r="EM13" s="398">
        <f t="shared" ref="EM13:EX13" si="82">(EM12/DZ12-1)*100</f>
        <v>-41.501103752759384</v>
      </c>
      <c r="EN13" s="398">
        <f t="shared" si="82"/>
        <v>-53.234750462107215</v>
      </c>
      <c r="EO13" s="398">
        <f t="shared" si="82"/>
        <v>-54.629629629629626</v>
      </c>
      <c r="EP13" s="398">
        <f t="shared" si="82"/>
        <v>-52.581682242990659</v>
      </c>
      <c r="EQ13" s="398">
        <f t="shared" si="82"/>
        <v>-54.582961460446242</v>
      </c>
      <c r="ER13" s="398">
        <f t="shared" si="82"/>
        <v>-47.55267034990792</v>
      </c>
      <c r="ES13" s="398">
        <f t="shared" si="82"/>
        <v>-47.778158844765336</v>
      </c>
      <c r="ET13" s="398">
        <f t="shared" si="82"/>
        <v>-40.93333333333333</v>
      </c>
      <c r="EU13" s="398">
        <f t="shared" si="82"/>
        <v>-41.284859813084118</v>
      </c>
      <c r="EV13" s="398">
        <f t="shared" si="82"/>
        <v>-34.5955938697318</v>
      </c>
      <c r="EW13" s="398">
        <f t="shared" si="82"/>
        <v>-21.854803493449793</v>
      </c>
      <c r="EX13" s="398">
        <f t="shared" si="82"/>
        <v>-8.3603133159268932</v>
      </c>
      <c r="EY13" s="394">
        <f t="shared" ref="EY13:FX13" si="83">(EY12/EL12-1)*100</f>
        <v>-42.656837535481721</v>
      </c>
      <c r="EZ13" s="398">
        <f t="shared" si="83"/>
        <v>25.135094339622643</v>
      </c>
      <c r="FA13" s="398">
        <f t="shared" si="83"/>
        <v>55.626086956521739</v>
      </c>
      <c r="FB13" s="398">
        <f t="shared" si="83"/>
        <v>69.647346938775527</v>
      </c>
      <c r="FC13" s="398">
        <f t="shared" si="83"/>
        <v>54.132635363123228</v>
      </c>
      <c r="FD13" s="398">
        <f t="shared" si="83"/>
        <v>55.40941287861871</v>
      </c>
      <c r="FE13" s="398">
        <f t="shared" si="83"/>
        <v>49.573895059149066</v>
      </c>
      <c r="FF13" s="398">
        <f t="shared" si="83"/>
        <v>48.259473434977807</v>
      </c>
      <c r="FG13" s="398">
        <f t="shared" si="83"/>
        <v>44.768152746425869</v>
      </c>
      <c r="FH13" s="398">
        <f t="shared" si="83"/>
        <v>36.938362313211904</v>
      </c>
      <c r="FI13" s="398">
        <f t="shared" si="83"/>
        <v>25.720319497614309</v>
      </c>
      <c r="FJ13" s="398">
        <f t="shared" si="83"/>
        <v>25.367904890962699</v>
      </c>
      <c r="FK13" s="398">
        <f t="shared" si="83"/>
        <v>23.90478089919652</v>
      </c>
      <c r="FL13" s="394">
        <f t="shared" si="83"/>
        <v>41.142340669752841</v>
      </c>
      <c r="FM13" s="398">
        <f t="shared" si="83"/>
        <v>18.660888760222917</v>
      </c>
      <c r="FN13" s="398">
        <f t="shared" si="83"/>
        <v>14.040951505331002</v>
      </c>
      <c r="FO13" s="398">
        <f t="shared" si="83"/>
        <v>8.5014291351086069</v>
      </c>
      <c r="FP13" s="398">
        <f t="shared" si="83"/>
        <v>10.351494567997221</v>
      </c>
      <c r="FQ13" s="398">
        <f t="shared" si="83"/>
        <v>2.0381008762224484</v>
      </c>
      <c r="FR13" s="398">
        <f t="shared" si="83"/>
        <v>5.8762354156395968</v>
      </c>
      <c r="FS13" s="398">
        <f t="shared" si="83"/>
        <v>6.2159616532378337</v>
      </c>
      <c r="FT13" s="398">
        <f t="shared" si="83"/>
        <v>11.294199814835881</v>
      </c>
      <c r="FU13" s="398">
        <f t="shared" si="83"/>
        <v>10.639089266991974</v>
      </c>
      <c r="FV13" s="398">
        <f t="shared" si="83"/>
        <v>14.76808092762969</v>
      </c>
      <c r="FW13" s="398">
        <f t="shared" si="83"/>
        <v>6.7903133065001509</v>
      </c>
      <c r="FX13" s="398">
        <f t="shared" si="83"/>
        <v>4.1358440584895684</v>
      </c>
      <c r="FY13" s="394">
        <f t="shared" ref="FY13:GH13" si="84">(FY12/FL12-1)*100</f>
        <v>9.3061268445086007</v>
      </c>
      <c r="FZ13" s="398">
        <f t="shared" si="84"/>
        <v>0.64728620113905233</v>
      </c>
      <c r="GA13" s="398">
        <f t="shared" si="84"/>
        <v>2.2065930541760093</v>
      </c>
      <c r="GB13" s="398">
        <f t="shared" si="84"/>
        <v>3.5219559572566617</v>
      </c>
      <c r="GC13" s="398">
        <f t="shared" si="84"/>
        <v>3.2774651673727506</v>
      </c>
      <c r="GD13" s="398">
        <f t="shared" si="84"/>
        <v>13.455076986337634</v>
      </c>
      <c r="GE13" s="398">
        <f t="shared" si="84"/>
        <v>1.8241644697018389</v>
      </c>
      <c r="GF13" s="398">
        <f t="shared" si="84"/>
        <v>-3.5830461599244856</v>
      </c>
      <c r="GG13" s="398">
        <f t="shared" si="84"/>
        <v>-14.073160586977618</v>
      </c>
      <c r="GH13" s="398">
        <f t="shared" si="84"/>
        <v>-16.239357544481891</v>
      </c>
      <c r="GI13" s="398">
        <f>(GI12/FU12-1)*100</f>
        <v>-12.923702103697233</v>
      </c>
      <c r="GJ13" s="398">
        <f>(GJ12/FV12-1)*100</f>
        <v>-23.469634255020686</v>
      </c>
      <c r="GK13" s="398">
        <f>(GK12/FW12-1)*100</f>
        <v>-27.805395207506368</v>
      </c>
      <c r="GL13" s="419">
        <f t="shared" ref="GL13:HY13" si="85">(GL12/FY12-1)*100</f>
        <v>-6.4225324466363425</v>
      </c>
      <c r="GM13" s="398">
        <f t="shared" si="85"/>
        <v>-4.8533466654546604</v>
      </c>
      <c r="GN13" s="398">
        <f t="shared" si="85"/>
        <v>-17.408035282376677</v>
      </c>
      <c r="GO13" s="398">
        <f t="shared" si="85"/>
        <v>-19.518307650785893</v>
      </c>
      <c r="GP13" s="398">
        <f t="shared" si="85"/>
        <v>-13.274121812967588</v>
      </c>
      <c r="GQ13" s="398">
        <f t="shared" si="85"/>
        <v>-12.612297281530749</v>
      </c>
      <c r="GR13" s="398">
        <f t="shared" si="85"/>
        <v>-15.438083043716855</v>
      </c>
      <c r="GS13" s="398">
        <f t="shared" si="85"/>
        <v>-4.5009174395468809</v>
      </c>
      <c r="GT13" s="398">
        <f t="shared" si="85"/>
        <v>-3.6516496114814556</v>
      </c>
      <c r="GU13" s="398">
        <f t="shared" si="85"/>
        <v>5.7450763476546207</v>
      </c>
      <c r="GV13" s="398">
        <f t="shared" si="85"/>
        <v>4.4867850498411244</v>
      </c>
      <c r="GW13" s="398">
        <f t="shared" si="85"/>
        <v>11.382583946291348</v>
      </c>
      <c r="GX13" s="398">
        <f t="shared" si="85"/>
        <v>20.908444434166263</v>
      </c>
      <c r="GY13" s="419">
        <f t="shared" si="85"/>
        <v>-4.9823024431684519</v>
      </c>
      <c r="GZ13" s="398">
        <f t="shared" si="85"/>
        <v>25.500577206321395</v>
      </c>
      <c r="HA13" s="398">
        <f t="shared" si="85"/>
        <v>8.8532487679270577</v>
      </c>
      <c r="HB13" s="398">
        <f t="shared" si="85"/>
        <v>19.908871216718293</v>
      </c>
      <c r="HC13" s="398">
        <f t="shared" si="85"/>
        <v>12.992392879321034</v>
      </c>
      <c r="HD13" s="398">
        <f t="shared" si="85"/>
        <v>16.265091043376991</v>
      </c>
      <c r="HE13" s="398">
        <f t="shared" si="85"/>
        <v>22.784885098317929</v>
      </c>
      <c r="HF13" s="398">
        <f t="shared" si="85"/>
        <v>13.591341970702864</v>
      </c>
      <c r="HG13" s="398">
        <f t="shared" si="85"/>
        <v>9.0056263129287615</v>
      </c>
      <c r="HH13" s="398">
        <f t="shared" si="85"/>
        <v>11.378781085498613</v>
      </c>
      <c r="HI13" s="398">
        <f t="shared" si="85"/>
        <v>6.5880543450397289</v>
      </c>
      <c r="HJ13" s="398">
        <f t="shared" si="85"/>
        <v>2.3638454998583081</v>
      </c>
      <c r="HK13" s="398">
        <f t="shared" si="85"/>
        <v>2.8391363287516569</v>
      </c>
      <c r="HL13" s="419">
        <f t="shared" si="85"/>
        <v>12.446686004366402</v>
      </c>
      <c r="HM13" s="398">
        <f t="shared" si="85"/>
        <v>-15.535466954250843</v>
      </c>
      <c r="HN13" s="303">
        <f t="shared" si="85"/>
        <v>7.019750698630367</v>
      </c>
      <c r="HO13" s="424">
        <f t="shared" si="85"/>
        <v>-2.2244615302661752</v>
      </c>
      <c r="HP13" s="303">
        <f t="shared" si="85"/>
        <v>4.5631599315766547</v>
      </c>
      <c r="HQ13" s="424">
        <f t="shared" si="85"/>
        <v>-13.820830319970289</v>
      </c>
      <c r="HR13" s="424">
        <f t="shared" si="85"/>
        <v>-9.6511630345649024</v>
      </c>
      <c r="HS13" s="424">
        <f t="shared" si="85"/>
        <v>-10.792428280623689</v>
      </c>
      <c r="HT13" s="424">
        <f t="shared" si="85"/>
        <v>-9.2602225774021107</v>
      </c>
      <c r="HU13" s="424">
        <f t="shared" si="85"/>
        <v>-9.0013950863143126</v>
      </c>
      <c r="HV13" s="424">
        <f t="shared" si="85"/>
        <v>-10.718727385394056</v>
      </c>
      <c r="HW13" s="424">
        <f t="shared" si="85"/>
        <v>-4.5757092837949482</v>
      </c>
      <c r="HX13" s="424">
        <f t="shared" si="85"/>
        <v>-13.279055926497673</v>
      </c>
      <c r="HY13" s="474">
        <f t="shared" si="85"/>
        <v>-7.3902346617726877</v>
      </c>
      <c r="HZ13" s="424">
        <f>(342/399-1)*100</f>
        <v>-14.28571428571429</v>
      </c>
      <c r="IA13" s="424">
        <f>(418/442-1)*100</f>
        <v>-5.4298642533936681</v>
      </c>
      <c r="IB13" s="424">
        <f>(425/441-1)*100</f>
        <v>-3.6281179138321962</v>
      </c>
      <c r="IC13" s="424">
        <f>(413/457-1)*100</f>
        <v>-9.6280087527352283</v>
      </c>
      <c r="ID13" s="424">
        <f>(343/353-1)*100</f>
        <v>-2.8328611898016942</v>
      </c>
      <c r="IE13" s="424">
        <f>(433/431-1)*100</f>
        <v>0.46403712296982924</v>
      </c>
      <c r="IF13" s="424">
        <f>(419/425-1)*100</f>
        <v>-1.4117647058823568</v>
      </c>
      <c r="IG13" s="424">
        <f>(361/337-1)*100</f>
        <v>7.1216617210682509</v>
      </c>
      <c r="IH13" s="424">
        <f>(433/427-1)*100</f>
        <v>1.4051522248243575</v>
      </c>
      <c r="II13" s="424">
        <f>(423/412-1)*100</f>
        <v>2.6699029126213691</v>
      </c>
      <c r="IJ13" s="424">
        <f>(432/410-1)*100</f>
        <v>5.3658536585365901</v>
      </c>
      <c r="IK13" s="424">
        <f>(431/373-1)*100</f>
        <v>15.549597855227892</v>
      </c>
      <c r="IL13" s="474">
        <f>(4873/4906-1)*100</f>
        <v>-0.67264573991031584</v>
      </c>
      <c r="IM13" s="424">
        <f>(IM12/HZ12-1)*100</f>
        <v>8.8435413965765939</v>
      </c>
      <c r="IN13" s="505">
        <f>(IN12/IA12-1)*100</f>
        <v>-2.5265051049083165</v>
      </c>
      <c r="IO13" s="505">
        <f t="shared" ref="IO13:IX13" si="86">(IO12/IB12-1)*100</f>
        <v>-0.85616438356164171</v>
      </c>
      <c r="IP13" s="505">
        <f t="shared" si="86"/>
        <v>-7.4384029966834131E-2</v>
      </c>
      <c r="IQ13" s="505">
        <f t="shared" si="86"/>
        <v>3.5891854670230261</v>
      </c>
      <c r="IR13" s="505">
        <f t="shared" si="86"/>
        <v>4.4959719304725088</v>
      </c>
      <c r="IS13" s="505">
        <f t="shared" si="86"/>
        <v>2.4581312564206703</v>
      </c>
      <c r="IT13" s="505">
        <f t="shared" si="86"/>
        <v>-0.77143584465030335</v>
      </c>
      <c r="IU13" s="505">
        <f t="shared" si="86"/>
        <v>-7.1187905566545311</v>
      </c>
      <c r="IV13" s="505">
        <f t="shared" si="86"/>
        <v>0.48414599009036774</v>
      </c>
      <c r="IW13" s="505">
        <f t="shared" si="86"/>
        <v>-1.7829096956701762</v>
      </c>
      <c r="IX13" s="505">
        <f t="shared" si="86"/>
        <v>1.1039848840421307</v>
      </c>
      <c r="IY13" s="474">
        <f t="shared" ref="IY13:JE13" si="87">(IY12/IL12-1)*100</f>
        <v>0.47774416102441819</v>
      </c>
      <c r="IZ13" s="505">
        <f t="shared" si="87"/>
        <v>-1.7433575496200837</v>
      </c>
      <c r="JA13" s="505">
        <f t="shared" si="87"/>
        <v>6.6679261856449124</v>
      </c>
      <c r="JB13" s="505">
        <f t="shared" si="87"/>
        <v>-13.039249179145552</v>
      </c>
      <c r="JC13" s="505">
        <f t="shared" si="87"/>
        <v>-8.702135707635005</v>
      </c>
      <c r="JD13" s="505">
        <f t="shared" si="87"/>
        <v>-7.9566227730441526</v>
      </c>
      <c r="JE13" s="505">
        <f t="shared" si="87"/>
        <v>-15.970637548681543</v>
      </c>
      <c r="JF13" s="505">
        <f>(JF12/429-1)*100</f>
        <v>-10.955710955710952</v>
      </c>
      <c r="JG13" s="505">
        <f>(JG12/359-1)*100</f>
        <v>-15.877437325905298</v>
      </c>
      <c r="JH13" s="505">
        <f>(JH12/402-1)*100</f>
        <v>7.7114427860696555</v>
      </c>
      <c r="JI13" s="505">
        <f>(JI12/425-1)*100</f>
        <v>-8.2352941176470633</v>
      </c>
      <c r="JJ13" s="505">
        <f>(JJ12/425-1)*100</f>
        <v>-10.82352941176471</v>
      </c>
      <c r="JK13" s="505">
        <f>(JK12/436-1)*100</f>
        <v>-22.247706422018354</v>
      </c>
      <c r="JL13" s="513">
        <f>(JL12/4896-1)*100</f>
        <v>-8.5784313725490229</v>
      </c>
      <c r="JM13" s="505">
        <f>(JM12/365-1)*100</f>
        <v>-6.02739726027397</v>
      </c>
      <c r="JN13" s="569">
        <f>(JN12/435-1)*100</f>
        <v>-4.8275862068965498</v>
      </c>
    </row>
    <row r="14" spans="1:274" ht="13.5" customHeight="1" x14ac:dyDescent="0.3">
      <c r="A14" s="542" t="s">
        <v>134</v>
      </c>
      <c r="B14" s="64" t="s">
        <v>103</v>
      </c>
      <c r="C14" s="59">
        <v>9129</v>
      </c>
      <c r="D14" s="25">
        <v>9648</v>
      </c>
      <c r="E14" s="26">
        <v>9204</v>
      </c>
      <c r="F14" s="25">
        <v>7620</v>
      </c>
      <c r="G14" s="128">
        <v>6517</v>
      </c>
      <c r="H14" s="25">
        <v>6930</v>
      </c>
      <c r="I14" s="26">
        <v>7427</v>
      </c>
      <c r="J14" s="25">
        <v>7749</v>
      </c>
      <c r="K14" s="26">
        <v>8432</v>
      </c>
      <c r="L14" s="25">
        <v>7266</v>
      </c>
      <c r="M14" s="26">
        <v>6910</v>
      </c>
      <c r="N14" s="66">
        <f>SUM(AA14:AL14)</f>
        <v>7226</v>
      </c>
      <c r="O14" s="26">
        <v>521</v>
      </c>
      <c r="P14" s="25">
        <v>567</v>
      </c>
      <c r="Q14" s="25">
        <v>642</v>
      </c>
      <c r="R14" s="25">
        <v>600</v>
      </c>
      <c r="S14" s="25">
        <v>537</v>
      </c>
      <c r="T14" s="25">
        <v>611</v>
      </c>
      <c r="U14" s="25">
        <v>565</v>
      </c>
      <c r="V14" s="25">
        <v>513</v>
      </c>
      <c r="W14" s="25">
        <v>589</v>
      </c>
      <c r="X14" s="25">
        <v>586</v>
      </c>
      <c r="Y14" s="25">
        <v>603</v>
      </c>
      <c r="Z14" s="25">
        <v>576</v>
      </c>
      <c r="AA14" s="26">
        <v>558</v>
      </c>
      <c r="AB14" s="26">
        <v>623</v>
      </c>
      <c r="AC14" s="26">
        <v>647</v>
      </c>
      <c r="AD14" s="26">
        <v>633</v>
      </c>
      <c r="AE14" s="26">
        <v>571</v>
      </c>
      <c r="AF14" s="26">
        <v>641</v>
      </c>
      <c r="AG14" s="26">
        <v>596</v>
      </c>
      <c r="AH14" s="26">
        <v>531</v>
      </c>
      <c r="AI14" s="26">
        <v>591</v>
      </c>
      <c r="AJ14" s="26">
        <v>609</v>
      </c>
      <c r="AK14" s="26">
        <v>625</v>
      </c>
      <c r="AL14" s="90">
        <v>601</v>
      </c>
      <c r="AM14" s="14">
        <f>SUM(AN14:AY14)</f>
        <v>6666</v>
      </c>
      <c r="AN14" s="119">
        <v>536</v>
      </c>
      <c r="AO14" s="26">
        <v>609</v>
      </c>
      <c r="AP14" s="90">
        <v>636</v>
      </c>
      <c r="AQ14" s="29">
        <v>599</v>
      </c>
      <c r="AR14" s="29">
        <v>519</v>
      </c>
      <c r="AS14" s="28">
        <v>558</v>
      </c>
      <c r="AT14" s="29">
        <v>559</v>
      </c>
      <c r="AU14" s="28">
        <v>482</v>
      </c>
      <c r="AV14" s="29">
        <v>545</v>
      </c>
      <c r="AW14" s="28">
        <v>556</v>
      </c>
      <c r="AX14" s="29">
        <v>539</v>
      </c>
      <c r="AY14" s="100">
        <v>528</v>
      </c>
      <c r="AZ14" s="110">
        <f>SUM(BA14:BL14)</f>
        <v>6526</v>
      </c>
      <c r="BA14" s="59">
        <v>462</v>
      </c>
      <c r="BB14" s="26">
        <v>541</v>
      </c>
      <c r="BC14" s="26">
        <v>548</v>
      </c>
      <c r="BD14" s="26">
        <v>545</v>
      </c>
      <c r="BE14" s="26">
        <v>504</v>
      </c>
      <c r="BF14" s="26">
        <v>553</v>
      </c>
      <c r="BG14" s="26">
        <v>576</v>
      </c>
      <c r="BH14" s="26">
        <v>496</v>
      </c>
      <c r="BI14" s="26">
        <v>556</v>
      </c>
      <c r="BJ14" s="26">
        <v>585</v>
      </c>
      <c r="BK14" s="26">
        <v>587</v>
      </c>
      <c r="BL14" s="26">
        <v>573</v>
      </c>
      <c r="BM14" s="26">
        <v>528</v>
      </c>
      <c r="BN14" s="26">
        <v>592</v>
      </c>
      <c r="BO14" s="26">
        <v>609</v>
      </c>
      <c r="BP14" s="26">
        <v>501</v>
      </c>
      <c r="BQ14" s="26">
        <v>562</v>
      </c>
      <c r="BR14" s="26">
        <v>679</v>
      </c>
      <c r="BS14" s="26">
        <v>690</v>
      </c>
      <c r="BT14" s="26">
        <v>580</v>
      </c>
      <c r="BU14" s="26">
        <v>700</v>
      </c>
      <c r="BV14" s="26">
        <v>745</v>
      </c>
      <c r="BW14" s="26">
        <v>700</v>
      </c>
      <c r="BX14" s="26">
        <v>733</v>
      </c>
      <c r="BY14" s="110">
        <f>SUM(BM14:BX14)</f>
        <v>7619</v>
      </c>
      <c r="BZ14" s="26">
        <v>669</v>
      </c>
      <c r="CA14" s="26">
        <v>750</v>
      </c>
      <c r="CB14" s="26">
        <v>780</v>
      </c>
      <c r="CC14" s="26">
        <v>807</v>
      </c>
      <c r="CD14" s="147">
        <v>716</v>
      </c>
      <c r="CE14" s="154">
        <v>790</v>
      </c>
      <c r="CF14" s="154">
        <v>759</v>
      </c>
      <c r="CG14" s="154">
        <v>706</v>
      </c>
      <c r="CH14" s="154">
        <v>816</v>
      </c>
      <c r="CI14" s="154">
        <v>775</v>
      </c>
      <c r="CJ14" s="259">
        <v>789.697</v>
      </c>
      <c r="CK14" s="369">
        <v>812</v>
      </c>
      <c r="CL14" s="102">
        <f>SUM(BZ14:CK14)</f>
        <v>9169.6970000000001</v>
      </c>
      <c r="CM14" s="289">
        <v>719</v>
      </c>
      <c r="CN14" s="290">
        <v>797</v>
      </c>
      <c r="CO14" s="290">
        <v>837</v>
      </c>
      <c r="CP14" s="327">
        <v>746</v>
      </c>
      <c r="CQ14" s="327">
        <v>680</v>
      </c>
      <c r="CR14" s="327">
        <v>741</v>
      </c>
      <c r="CS14" s="327">
        <v>713</v>
      </c>
      <c r="CT14" s="327">
        <v>646</v>
      </c>
      <c r="CU14" s="327">
        <v>726</v>
      </c>
      <c r="CV14" s="327">
        <v>704</v>
      </c>
      <c r="CW14" s="327">
        <v>712</v>
      </c>
      <c r="CX14" s="317">
        <v>709</v>
      </c>
      <c r="CY14" s="102">
        <f>SUM(CM14:CX14)</f>
        <v>8730</v>
      </c>
      <c r="CZ14" s="327">
        <v>662</v>
      </c>
      <c r="DA14" s="327">
        <v>716</v>
      </c>
      <c r="DB14" s="327">
        <v>757</v>
      </c>
      <c r="DC14" s="327">
        <v>765</v>
      </c>
      <c r="DD14" s="327">
        <v>714</v>
      </c>
      <c r="DE14" s="327">
        <v>781</v>
      </c>
      <c r="DF14" s="327">
        <v>770</v>
      </c>
      <c r="DG14" s="327">
        <v>701</v>
      </c>
      <c r="DH14" s="327">
        <v>802</v>
      </c>
      <c r="DI14" s="327">
        <v>814</v>
      </c>
      <c r="DJ14" s="327">
        <v>834</v>
      </c>
      <c r="DK14" s="327">
        <v>796</v>
      </c>
      <c r="DL14" s="102">
        <f>SUM(CZ14:DK14)</f>
        <v>9112</v>
      </c>
      <c r="DM14" s="327">
        <v>697</v>
      </c>
      <c r="DN14" s="327">
        <v>784</v>
      </c>
      <c r="DO14" s="327">
        <v>810</v>
      </c>
      <c r="DP14" s="327">
        <v>777</v>
      </c>
      <c r="DQ14" s="327">
        <v>715</v>
      </c>
      <c r="DR14" s="327">
        <v>806</v>
      </c>
      <c r="DS14" s="327">
        <v>935</v>
      </c>
      <c r="DT14" s="327">
        <v>699</v>
      </c>
      <c r="DU14" s="327">
        <v>774</v>
      </c>
      <c r="DV14" s="327">
        <v>833</v>
      </c>
      <c r="DW14" s="327">
        <v>839</v>
      </c>
      <c r="DX14" s="290">
        <v>785</v>
      </c>
      <c r="DY14" s="306">
        <f>SUM(DM14:DX14)</f>
        <v>9454</v>
      </c>
      <c r="DZ14" s="321">
        <v>691</v>
      </c>
      <c r="EA14" s="321">
        <v>820</v>
      </c>
      <c r="EB14" s="321">
        <v>849</v>
      </c>
      <c r="EC14" s="321">
        <v>838</v>
      </c>
      <c r="ED14" s="321">
        <v>770</v>
      </c>
      <c r="EE14" s="321">
        <v>856</v>
      </c>
      <c r="EF14" s="321">
        <v>827</v>
      </c>
      <c r="EG14" s="321">
        <v>701</v>
      </c>
      <c r="EH14" s="321">
        <v>822</v>
      </c>
      <c r="EI14" s="321">
        <v>840</v>
      </c>
      <c r="EJ14" s="321">
        <v>762</v>
      </c>
      <c r="EK14" s="321">
        <v>665</v>
      </c>
      <c r="EL14" s="306">
        <f>SUM(DZ14:EK14)</f>
        <v>9441</v>
      </c>
      <c r="EM14" s="321">
        <v>496</v>
      </c>
      <c r="EN14" s="321">
        <v>471</v>
      </c>
      <c r="EO14" s="321">
        <v>464</v>
      </c>
      <c r="EP14" s="321">
        <v>471.13</v>
      </c>
      <c r="EQ14" s="321">
        <v>438.50299999999999</v>
      </c>
      <c r="ER14" s="321">
        <v>534.96299999999997</v>
      </c>
      <c r="ES14" s="321">
        <v>541.09500000000003</v>
      </c>
      <c r="ET14" s="321">
        <v>470.02</v>
      </c>
      <c r="EU14" s="321">
        <v>543.16</v>
      </c>
      <c r="EV14" s="321">
        <v>603.79600000000005</v>
      </c>
      <c r="EW14" s="321">
        <v>624.16800000000001</v>
      </c>
      <c r="EX14" s="321">
        <v>610.66499999999996</v>
      </c>
      <c r="EY14" s="306">
        <f>SUM(EM14:EX14)</f>
        <v>6268.5000000000009</v>
      </c>
      <c r="EZ14" s="321">
        <v>572.98199999999997</v>
      </c>
      <c r="FA14" s="321">
        <v>642.76300000000003</v>
      </c>
      <c r="FB14" s="321">
        <v>666.00400000000002</v>
      </c>
      <c r="FC14" s="321">
        <v>648.90899999999999</v>
      </c>
      <c r="FD14" s="321">
        <v>590.46</v>
      </c>
      <c r="FE14" s="321">
        <v>695.197</v>
      </c>
      <c r="FF14" s="321">
        <v>685.255</v>
      </c>
      <c r="FG14" s="321">
        <v>608.55899999999997</v>
      </c>
      <c r="FH14" s="321">
        <v>668.28399999999999</v>
      </c>
      <c r="FI14" s="321">
        <v>683.13099999999997</v>
      </c>
      <c r="FJ14" s="321">
        <v>698.84500000000003</v>
      </c>
      <c r="FK14" s="321">
        <v>673.60699999999997</v>
      </c>
      <c r="FL14" s="306">
        <f>SUM(EZ14:FK14)</f>
        <v>7833.9960000000001</v>
      </c>
      <c r="FM14" s="321">
        <v>593.96100000000001</v>
      </c>
      <c r="FN14" s="321">
        <v>693.13800000000003</v>
      </c>
      <c r="FO14" s="321">
        <v>701.00099999999998</v>
      </c>
      <c r="FP14" s="321">
        <v>702.63900000000001</v>
      </c>
      <c r="FQ14" s="321">
        <v>628.11599999999999</v>
      </c>
      <c r="FR14" s="321">
        <v>729.38699999999994</v>
      </c>
      <c r="FS14" s="321">
        <v>718.44799999999998</v>
      </c>
      <c r="FT14" s="321">
        <v>674.50699999999995</v>
      </c>
      <c r="FU14" s="321">
        <v>772.05399999999997</v>
      </c>
      <c r="FV14" s="321">
        <v>890.83699999999999</v>
      </c>
      <c r="FW14" s="321">
        <v>772.4</v>
      </c>
      <c r="FX14" s="321">
        <v>753.01400000000001</v>
      </c>
      <c r="FY14" s="306">
        <f>SUM(FM14:FX14)</f>
        <v>8629.5019999999986</v>
      </c>
      <c r="FZ14" s="321">
        <v>668.59400000000005</v>
      </c>
      <c r="GA14" s="321">
        <v>758.60199999999998</v>
      </c>
      <c r="GB14" s="321">
        <v>777.04100000000005</v>
      </c>
      <c r="GC14" s="321">
        <v>744.85799999999995</v>
      </c>
      <c r="GD14" s="321">
        <v>687.74</v>
      </c>
      <c r="GE14" s="321">
        <v>754.66300000000001</v>
      </c>
      <c r="GF14" s="321">
        <v>760.54499999999996</v>
      </c>
      <c r="GG14" s="321">
        <v>609.59400000000005</v>
      </c>
      <c r="GH14" s="321">
        <v>686.97199999999998</v>
      </c>
      <c r="GI14" s="321">
        <v>705.279</v>
      </c>
      <c r="GJ14" s="321">
        <v>686.54899999999998</v>
      </c>
      <c r="GK14" s="321">
        <v>641.44799999999998</v>
      </c>
      <c r="GL14" s="420">
        <f>SUM(FZ14:GK14)</f>
        <v>8481.8849999999984</v>
      </c>
      <c r="GM14" s="321">
        <v>612.65200000000004</v>
      </c>
      <c r="GN14" s="321">
        <v>705.35500000000002</v>
      </c>
      <c r="GO14" s="321">
        <v>734.57600000000002</v>
      </c>
      <c r="GP14" s="321">
        <v>755.70299999999997</v>
      </c>
      <c r="GQ14" s="321">
        <v>698.41099999999994</v>
      </c>
      <c r="GR14" s="321">
        <v>774.73099999999999</v>
      </c>
      <c r="GS14" s="321">
        <v>805.36500000000001</v>
      </c>
      <c r="GT14" s="321">
        <v>655.71</v>
      </c>
      <c r="GU14" s="321">
        <v>807.47199999999998</v>
      </c>
      <c r="GV14" s="321">
        <v>831.31299999999999</v>
      </c>
      <c r="GW14" s="321">
        <v>831.88300000000004</v>
      </c>
      <c r="GX14" s="321">
        <v>807.61900000000003</v>
      </c>
      <c r="GY14" s="420">
        <f>SUM(GM14:GX14)</f>
        <v>9020.7900000000009</v>
      </c>
      <c r="GZ14" s="321">
        <v>689.65899999999999</v>
      </c>
      <c r="HA14" s="321">
        <v>787.28599999999994</v>
      </c>
      <c r="HB14" s="321">
        <v>801.33199999999999</v>
      </c>
      <c r="HC14" s="321">
        <v>806.71799999999996</v>
      </c>
      <c r="HD14" s="321">
        <v>734.495</v>
      </c>
      <c r="HE14" s="321">
        <v>822.45</v>
      </c>
      <c r="HF14" s="321">
        <v>822.00300000000004</v>
      </c>
      <c r="HG14" s="321">
        <v>666.40200000000004</v>
      </c>
      <c r="HH14" s="321">
        <v>815.18600000000004</v>
      </c>
      <c r="HI14" s="321">
        <v>823.04300000000001</v>
      </c>
      <c r="HJ14" s="321">
        <v>773.35199999999998</v>
      </c>
      <c r="HK14" s="321">
        <v>768.01400000000001</v>
      </c>
      <c r="HL14" s="420">
        <f>SUM(GZ14:HK14)</f>
        <v>9309.9399999999987</v>
      </c>
      <c r="HM14" s="321">
        <v>701.11699999999996</v>
      </c>
      <c r="HN14" s="289">
        <v>779.62400000000002</v>
      </c>
      <c r="HO14" s="400">
        <v>856.05</v>
      </c>
      <c r="HP14" s="425">
        <v>882.17100000000005</v>
      </c>
      <c r="HQ14" s="432">
        <v>664.51199999999994</v>
      </c>
      <c r="HR14" s="432">
        <v>787.55799999999999</v>
      </c>
      <c r="HS14" s="432">
        <v>736.85299999999995</v>
      </c>
      <c r="HT14" s="432">
        <v>624.09</v>
      </c>
      <c r="HU14" s="432">
        <v>738.79700000000003</v>
      </c>
      <c r="HV14" s="432">
        <v>744</v>
      </c>
      <c r="HW14" s="432">
        <v>735.60500000000002</v>
      </c>
      <c r="HX14" s="432">
        <v>683.21699999999998</v>
      </c>
      <c r="HY14" s="473">
        <f>SUM(HM14:HX14)</f>
        <v>8933.594000000001</v>
      </c>
      <c r="HZ14" s="467">
        <v>629722</v>
      </c>
      <c r="IA14" s="467">
        <v>743906</v>
      </c>
      <c r="IB14" s="467">
        <v>763928</v>
      </c>
      <c r="IC14" s="467">
        <v>751461</v>
      </c>
      <c r="ID14" s="467">
        <v>634687</v>
      </c>
      <c r="IE14" s="467">
        <v>729003</v>
      </c>
      <c r="IF14" s="467">
        <v>722517</v>
      </c>
      <c r="IG14" s="467">
        <v>653882</v>
      </c>
      <c r="IH14" s="467">
        <v>754525</v>
      </c>
      <c r="II14" s="467">
        <v>734514</v>
      </c>
      <c r="IJ14" s="467">
        <v>771514</v>
      </c>
      <c r="IK14" s="467">
        <v>739080</v>
      </c>
      <c r="IL14" s="468">
        <f>SUM(HZ14:IK14)</f>
        <v>8628739</v>
      </c>
      <c r="IM14" s="467">
        <v>659235</v>
      </c>
      <c r="IN14" s="467">
        <v>682972</v>
      </c>
      <c r="IO14" s="467">
        <v>820362</v>
      </c>
      <c r="IP14" s="467">
        <v>798729</v>
      </c>
      <c r="IQ14" s="467">
        <v>608138</v>
      </c>
      <c r="IR14" s="467">
        <v>709452</v>
      </c>
      <c r="IS14" s="467">
        <v>810758</v>
      </c>
      <c r="IT14" s="467">
        <v>599685</v>
      </c>
      <c r="IU14" s="467">
        <v>731258</v>
      </c>
      <c r="IV14" s="467">
        <v>736745</v>
      </c>
      <c r="IW14" s="467">
        <v>749918</v>
      </c>
      <c r="IX14" s="467">
        <v>712506</v>
      </c>
      <c r="IY14" s="468">
        <f>SUM(IM14:IX14)</f>
        <v>8619758</v>
      </c>
      <c r="IZ14" s="467">
        <v>620465</v>
      </c>
      <c r="JA14" s="467">
        <v>717673</v>
      </c>
      <c r="JB14" s="467">
        <v>830326</v>
      </c>
      <c r="JC14" s="467">
        <v>827823</v>
      </c>
      <c r="JD14" s="467">
        <v>738110</v>
      </c>
      <c r="JE14" s="467">
        <v>868226</v>
      </c>
      <c r="JF14" s="520">
        <v>865</v>
      </c>
      <c r="JG14" s="520">
        <v>697</v>
      </c>
      <c r="JH14" s="520">
        <v>734</v>
      </c>
      <c r="JI14" s="520">
        <v>900</v>
      </c>
      <c r="JJ14" s="520">
        <v>818</v>
      </c>
      <c r="JK14" s="520">
        <v>815</v>
      </c>
      <c r="JL14" s="525">
        <v>9431</v>
      </c>
      <c r="JM14" s="412">
        <v>618</v>
      </c>
      <c r="JN14" s="568">
        <v>763</v>
      </c>
    </row>
    <row r="15" spans="1:274" ht="13.5" customHeight="1" thickBot="1" x14ac:dyDescent="0.35">
      <c r="A15" s="546"/>
      <c r="B15" s="65" t="s">
        <v>102</v>
      </c>
      <c r="C15" s="67"/>
      <c r="D15" s="60">
        <f t="shared" ref="D15:M15" si="88">(D14/C14-1)*100</f>
        <v>5.6851790995727791</v>
      </c>
      <c r="E15" s="60">
        <f t="shared" si="88"/>
        <v>-4.6019900497512474</v>
      </c>
      <c r="F15" s="60">
        <f t="shared" si="88"/>
        <v>-17.209908735332469</v>
      </c>
      <c r="G15" s="60">
        <f t="shared" si="88"/>
        <v>-14.475065616797899</v>
      </c>
      <c r="H15" s="60">
        <f t="shared" si="88"/>
        <v>6.3372717508055842</v>
      </c>
      <c r="I15" s="60">
        <f t="shared" si="88"/>
        <v>7.1717171717171624</v>
      </c>
      <c r="J15" s="60">
        <f t="shared" si="88"/>
        <v>4.3355325164938785</v>
      </c>
      <c r="K15" s="60">
        <f t="shared" si="88"/>
        <v>8.8140405213575903</v>
      </c>
      <c r="L15" s="60">
        <f t="shared" si="88"/>
        <v>-13.828273244781785</v>
      </c>
      <c r="M15" s="60">
        <f t="shared" si="88"/>
        <v>-4.8995320671621272</v>
      </c>
      <c r="N15" s="60">
        <f>(N14/M14-1)*100</f>
        <v>4.573082489146163</v>
      </c>
      <c r="O15" s="61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/>
      <c r="AA15" s="60">
        <f t="shared" ref="AA15:AL15" si="89">(AA14/O14-1)*100</f>
        <v>7.1017274472168879</v>
      </c>
      <c r="AB15" s="60">
        <f t="shared" si="89"/>
        <v>9.8765432098765427</v>
      </c>
      <c r="AC15" s="60">
        <f t="shared" si="89"/>
        <v>0.77881619937694158</v>
      </c>
      <c r="AD15" s="60">
        <f t="shared" si="89"/>
        <v>5.4999999999999938</v>
      </c>
      <c r="AE15" s="60">
        <f t="shared" si="89"/>
        <v>6.3314711359404141</v>
      </c>
      <c r="AF15" s="60">
        <f t="shared" si="89"/>
        <v>4.9099836333878821</v>
      </c>
      <c r="AG15" s="60">
        <f t="shared" si="89"/>
        <v>5.4867256637168182</v>
      </c>
      <c r="AH15" s="60">
        <f t="shared" si="89"/>
        <v>3.5087719298245723</v>
      </c>
      <c r="AI15" s="60">
        <f t="shared" si="89"/>
        <v>0.33955857385399302</v>
      </c>
      <c r="AJ15" s="60">
        <f t="shared" si="89"/>
        <v>3.924914675767921</v>
      </c>
      <c r="AK15" s="60">
        <f t="shared" si="89"/>
        <v>3.6484245439469376</v>
      </c>
      <c r="AL15" s="84">
        <f t="shared" si="89"/>
        <v>4.3402777777777679</v>
      </c>
      <c r="AM15" s="60">
        <f>(AM14/N14-1)*100</f>
        <v>-7.7497924162745591</v>
      </c>
      <c r="AN15" s="121">
        <f t="shared" ref="AN15:BL15" si="90">(AN14/AA14-1)*100</f>
        <v>-3.9426523297491078</v>
      </c>
      <c r="AO15" s="60">
        <f t="shared" si="90"/>
        <v>-2.2471910112359605</v>
      </c>
      <c r="AP15" s="84">
        <f t="shared" si="90"/>
        <v>-1.7001545595054068</v>
      </c>
      <c r="AQ15" s="60">
        <f t="shared" si="90"/>
        <v>-5.3712480252764649</v>
      </c>
      <c r="AR15" s="60">
        <f t="shared" si="90"/>
        <v>-9.1068301225919477</v>
      </c>
      <c r="AS15" s="82">
        <f t="shared" si="90"/>
        <v>-12.948517940717629</v>
      </c>
      <c r="AT15" s="60">
        <f t="shared" si="90"/>
        <v>-6.2080536912751727</v>
      </c>
      <c r="AU15" s="82">
        <f t="shared" si="90"/>
        <v>-9.2278719397363425</v>
      </c>
      <c r="AV15" s="60">
        <f t="shared" si="90"/>
        <v>-7.7834179357021966</v>
      </c>
      <c r="AW15" s="82">
        <f t="shared" si="90"/>
        <v>-8.7027914614121507</v>
      </c>
      <c r="AX15" s="60">
        <f t="shared" si="90"/>
        <v>-13.759999999999994</v>
      </c>
      <c r="AY15" s="83">
        <f t="shared" si="90"/>
        <v>-12.146422628951747</v>
      </c>
      <c r="AZ15" s="127">
        <f t="shared" si="90"/>
        <v>-2.1002100210021024</v>
      </c>
      <c r="BA15" s="124">
        <f t="shared" si="90"/>
        <v>-13.805970149253731</v>
      </c>
      <c r="BB15" s="32">
        <f t="shared" si="90"/>
        <v>-11.165845648604266</v>
      </c>
      <c r="BC15" s="32">
        <f t="shared" si="90"/>
        <v>-13.836477987421381</v>
      </c>
      <c r="BD15" s="32">
        <f t="shared" si="90"/>
        <v>-9.0150250417362248</v>
      </c>
      <c r="BE15" s="32">
        <f t="shared" si="90"/>
        <v>-2.8901734104046284</v>
      </c>
      <c r="BF15" s="32">
        <f t="shared" si="90"/>
        <v>-0.8960573476702538</v>
      </c>
      <c r="BG15" s="32">
        <f t="shared" si="90"/>
        <v>3.0411449016100267</v>
      </c>
      <c r="BH15" s="32">
        <f t="shared" si="90"/>
        <v>2.9045643153526868</v>
      </c>
      <c r="BI15" s="32">
        <f t="shared" si="90"/>
        <v>2.0183486238532167</v>
      </c>
      <c r="BJ15" s="32">
        <f t="shared" si="90"/>
        <v>5.2158273381294862</v>
      </c>
      <c r="BK15" s="32">
        <f t="shared" si="90"/>
        <v>8.9053803339517614</v>
      </c>
      <c r="BL15" s="32">
        <f t="shared" si="90"/>
        <v>8.5227272727272698</v>
      </c>
      <c r="BM15" s="32">
        <f t="shared" ref="BM15:BX15" si="91">(BM14/BA14-1)*100</f>
        <v>14.285714285714279</v>
      </c>
      <c r="BN15" s="32">
        <f t="shared" si="91"/>
        <v>9.4269870609981599</v>
      </c>
      <c r="BO15" s="32">
        <f t="shared" si="91"/>
        <v>11.131386861313874</v>
      </c>
      <c r="BP15" s="32">
        <f t="shared" si="91"/>
        <v>-8.0733944954128454</v>
      </c>
      <c r="BQ15" s="32">
        <f t="shared" si="91"/>
        <v>11.507936507936511</v>
      </c>
      <c r="BR15" s="32">
        <f t="shared" si="91"/>
        <v>22.78481012658229</v>
      </c>
      <c r="BS15" s="32">
        <f t="shared" si="91"/>
        <v>19.791666666666675</v>
      </c>
      <c r="BT15" s="32">
        <f t="shared" si="91"/>
        <v>16.935483870967751</v>
      </c>
      <c r="BU15" s="32">
        <f t="shared" si="91"/>
        <v>25.899280575539564</v>
      </c>
      <c r="BV15" s="32">
        <f t="shared" si="91"/>
        <v>27.350427350427342</v>
      </c>
      <c r="BW15" s="32">
        <f t="shared" si="91"/>
        <v>19.250425894378196</v>
      </c>
      <c r="BX15" s="32">
        <f t="shared" si="91"/>
        <v>27.923211169284468</v>
      </c>
      <c r="BY15" s="127">
        <f>(BY14/AZ14-1)*100</f>
        <v>16.74839105117989</v>
      </c>
      <c r="BZ15" s="32">
        <f t="shared" ref="BZ15:CK15" si="92">(BZ14/BM14-1)*100</f>
        <v>26.70454545454546</v>
      </c>
      <c r="CA15" s="32">
        <f t="shared" si="92"/>
        <v>26.689189189189189</v>
      </c>
      <c r="CB15" s="32">
        <f t="shared" si="92"/>
        <v>28.078817733990146</v>
      </c>
      <c r="CC15" s="32">
        <f t="shared" si="92"/>
        <v>61.077844311377241</v>
      </c>
      <c r="CD15" s="32">
        <f t="shared" si="92"/>
        <v>27.402135231316716</v>
      </c>
      <c r="CE15" s="89">
        <f t="shared" si="92"/>
        <v>16.347569955817388</v>
      </c>
      <c r="CF15" s="89">
        <f t="shared" si="92"/>
        <v>10.000000000000009</v>
      </c>
      <c r="CG15" s="89">
        <f t="shared" si="92"/>
        <v>21.724137931034491</v>
      </c>
      <c r="CH15" s="89">
        <f t="shared" si="92"/>
        <v>16.571428571428569</v>
      </c>
      <c r="CI15" s="89">
        <f t="shared" si="92"/>
        <v>4.0268456375838868</v>
      </c>
      <c r="CJ15" s="258">
        <f t="shared" si="92"/>
        <v>12.813857142857144</v>
      </c>
      <c r="CK15" s="368">
        <f t="shared" si="92"/>
        <v>10.777626193724421</v>
      </c>
      <c r="CL15" s="83">
        <f t="shared" ref="CL15:EL15" si="93">(CL14/BY14-1)*100</f>
        <v>20.353025331408325</v>
      </c>
      <c r="CM15" s="303">
        <f t="shared" si="93"/>
        <v>7.4738415545590353</v>
      </c>
      <c r="CN15" s="304">
        <f t="shared" si="93"/>
        <v>6.2666666666666648</v>
      </c>
      <c r="CO15" s="304">
        <f t="shared" si="93"/>
        <v>7.3076923076923039</v>
      </c>
      <c r="CP15" s="379">
        <f t="shared" si="93"/>
        <v>-7.5588599752168477</v>
      </c>
      <c r="CQ15" s="379">
        <f t="shared" si="93"/>
        <v>-5.027932960893855</v>
      </c>
      <c r="CR15" s="380">
        <f t="shared" si="93"/>
        <v>-6.2025316455696196</v>
      </c>
      <c r="CS15" s="379">
        <f t="shared" si="93"/>
        <v>-6.0606060606060552</v>
      </c>
      <c r="CT15" s="379">
        <f t="shared" si="93"/>
        <v>-8.4985835694050937</v>
      </c>
      <c r="CU15" s="379">
        <f t="shared" si="93"/>
        <v>-11.029411764705888</v>
      </c>
      <c r="CV15" s="379">
        <f t="shared" si="93"/>
        <v>-9.1612903225806406</v>
      </c>
      <c r="CW15" s="379">
        <f t="shared" si="93"/>
        <v>-9.838836920996286</v>
      </c>
      <c r="CX15" s="375">
        <f t="shared" si="93"/>
        <v>-12.684729064039413</v>
      </c>
      <c r="CY15" s="83">
        <f t="shared" si="93"/>
        <v>-4.7951093694807989</v>
      </c>
      <c r="CZ15" s="379">
        <f t="shared" si="93"/>
        <v>-7.9276773296244833</v>
      </c>
      <c r="DA15" s="379">
        <f t="shared" si="93"/>
        <v>-10.163111668757841</v>
      </c>
      <c r="DB15" s="379">
        <f t="shared" si="93"/>
        <v>-9.5579450418160068</v>
      </c>
      <c r="DC15" s="379">
        <f t="shared" si="93"/>
        <v>2.5469168900804195</v>
      </c>
      <c r="DD15" s="379">
        <f t="shared" si="93"/>
        <v>5.0000000000000044</v>
      </c>
      <c r="DE15" s="379">
        <f t="shared" si="93"/>
        <v>5.3981106612685625</v>
      </c>
      <c r="DF15" s="379">
        <f t="shared" si="93"/>
        <v>7.9943899018232845</v>
      </c>
      <c r="DG15" s="379">
        <f t="shared" si="93"/>
        <v>8.5139318885449011</v>
      </c>
      <c r="DH15" s="379">
        <f t="shared" si="93"/>
        <v>10.468319559228645</v>
      </c>
      <c r="DI15" s="379">
        <f t="shared" si="93"/>
        <v>15.625</v>
      </c>
      <c r="DJ15" s="379">
        <f t="shared" si="93"/>
        <v>17.13483146067416</v>
      </c>
      <c r="DK15" s="379">
        <f t="shared" si="93"/>
        <v>12.270803949224263</v>
      </c>
      <c r="DL15" s="83">
        <f t="shared" si="93"/>
        <v>4.3757159221076813</v>
      </c>
      <c r="DM15" s="379">
        <f t="shared" si="93"/>
        <v>5.2870090634441036</v>
      </c>
      <c r="DN15" s="379">
        <f t="shared" si="93"/>
        <v>9.4972067039106101</v>
      </c>
      <c r="DO15" s="379">
        <f t="shared" si="93"/>
        <v>7.0013210039630014</v>
      </c>
      <c r="DP15" s="379">
        <f t="shared" si="93"/>
        <v>1.5686274509803866</v>
      </c>
      <c r="DQ15" s="379">
        <f t="shared" si="93"/>
        <v>0.14005602240896309</v>
      </c>
      <c r="DR15" s="379">
        <f t="shared" si="93"/>
        <v>3.2010243277848849</v>
      </c>
      <c r="DS15" s="379">
        <f t="shared" si="93"/>
        <v>21.42857142857142</v>
      </c>
      <c r="DT15" s="379">
        <f t="shared" si="93"/>
        <v>-0.28530670470755526</v>
      </c>
      <c r="DU15" s="379">
        <f t="shared" si="93"/>
        <v>-3.4912718204488824</v>
      </c>
      <c r="DV15" s="379">
        <f t="shared" si="93"/>
        <v>2.3341523341523285</v>
      </c>
      <c r="DW15" s="379">
        <f t="shared" si="93"/>
        <v>0.59952038369304184</v>
      </c>
      <c r="DX15" s="304">
        <f t="shared" si="93"/>
        <v>-1.3819095477386911</v>
      </c>
      <c r="DY15" s="394">
        <f t="shared" si="93"/>
        <v>3.7532923617208169</v>
      </c>
      <c r="DZ15" s="398">
        <f t="shared" si="93"/>
        <v>-0.86083213773314737</v>
      </c>
      <c r="EA15" s="398">
        <f t="shared" si="93"/>
        <v>4.5918367346938771</v>
      </c>
      <c r="EB15" s="398">
        <f t="shared" si="93"/>
        <v>4.8148148148148051</v>
      </c>
      <c r="EC15" s="398">
        <f t="shared" si="93"/>
        <v>7.8507078507078498</v>
      </c>
      <c r="ED15" s="398">
        <f t="shared" si="93"/>
        <v>7.6923076923076872</v>
      </c>
      <c r="EE15" s="398">
        <f t="shared" si="93"/>
        <v>6.2034739454094323</v>
      </c>
      <c r="EF15" s="398">
        <f t="shared" si="93"/>
        <v>-11.55080213903743</v>
      </c>
      <c r="EG15" s="398">
        <f t="shared" si="93"/>
        <v>0.28612303290413976</v>
      </c>
      <c r="EH15" s="398">
        <f t="shared" si="93"/>
        <v>6.2015503875969102</v>
      </c>
      <c r="EI15" s="398">
        <f t="shared" si="93"/>
        <v>0.84033613445377853</v>
      </c>
      <c r="EJ15" s="398">
        <f t="shared" si="93"/>
        <v>-9.1775923718712793</v>
      </c>
      <c r="EK15" s="398">
        <f t="shared" si="93"/>
        <v>-15.286624203821653</v>
      </c>
      <c r="EL15" s="394">
        <f t="shared" si="93"/>
        <v>-0.13750793314999399</v>
      </c>
      <c r="EM15" s="398">
        <f t="shared" ref="EM15:EX15" si="94">(EM14/DZ14-1)*100</f>
        <v>-28.219971056439942</v>
      </c>
      <c r="EN15" s="398">
        <f t="shared" si="94"/>
        <v>-42.560975609756099</v>
      </c>
      <c r="EO15" s="398">
        <f t="shared" si="94"/>
        <v>-45.34746760895171</v>
      </c>
      <c r="EP15" s="398">
        <f t="shared" si="94"/>
        <v>-43.779236276849645</v>
      </c>
      <c r="EQ15" s="398">
        <f t="shared" si="94"/>
        <v>-43.051558441558448</v>
      </c>
      <c r="ER15" s="398">
        <f t="shared" si="94"/>
        <v>-37.504322429906544</v>
      </c>
      <c r="ES15" s="398">
        <f t="shared" si="94"/>
        <v>-34.57134220072551</v>
      </c>
      <c r="ET15" s="398">
        <f t="shared" si="94"/>
        <v>-32.950071326676181</v>
      </c>
      <c r="EU15" s="398">
        <f t="shared" si="94"/>
        <v>-33.922141119221415</v>
      </c>
      <c r="EV15" s="398">
        <f t="shared" si="94"/>
        <v>-28.119523809523805</v>
      </c>
      <c r="EW15" s="398">
        <f t="shared" si="94"/>
        <v>-18.08818897637795</v>
      </c>
      <c r="EX15" s="398">
        <f t="shared" si="94"/>
        <v>-8.1706766917293283</v>
      </c>
      <c r="EY15" s="394">
        <f t="shared" ref="EY15:FX15" si="95">(EY14/EL14-1)*100</f>
        <v>-33.603431839847467</v>
      </c>
      <c r="EZ15" s="398">
        <f t="shared" si="95"/>
        <v>15.520564516129021</v>
      </c>
      <c r="FA15" s="398">
        <f t="shared" si="95"/>
        <v>36.467728237791938</v>
      </c>
      <c r="FB15" s="398">
        <f t="shared" si="95"/>
        <v>43.535344827586208</v>
      </c>
      <c r="FC15" s="398">
        <f t="shared" si="95"/>
        <v>37.734595546876662</v>
      </c>
      <c r="FD15" s="398">
        <f t="shared" si="95"/>
        <v>34.653582757700654</v>
      </c>
      <c r="FE15" s="398">
        <f t="shared" si="95"/>
        <v>29.952351844893954</v>
      </c>
      <c r="FF15" s="398">
        <f t="shared" si="95"/>
        <v>26.642271689814166</v>
      </c>
      <c r="FG15" s="398">
        <f t="shared" si="95"/>
        <v>29.4751287179269</v>
      </c>
      <c r="FH15" s="398">
        <f t="shared" si="95"/>
        <v>23.036306060829226</v>
      </c>
      <c r="FI15" s="398">
        <f t="shared" si="95"/>
        <v>13.139371575830229</v>
      </c>
      <c r="FJ15" s="398">
        <f t="shared" si="95"/>
        <v>11.96424680534729</v>
      </c>
      <c r="FK15" s="398">
        <f t="shared" si="95"/>
        <v>10.307124200666484</v>
      </c>
      <c r="FL15" s="394">
        <f t="shared" si="95"/>
        <v>24.974012921751608</v>
      </c>
      <c r="FM15" s="398">
        <f t="shared" si="95"/>
        <v>3.6613715614103093</v>
      </c>
      <c r="FN15" s="398">
        <f t="shared" si="95"/>
        <v>7.8372588341270477</v>
      </c>
      <c r="FO15" s="398">
        <f t="shared" si="95"/>
        <v>5.2547732446051265</v>
      </c>
      <c r="FP15" s="398">
        <f t="shared" si="95"/>
        <v>8.2800515942913488</v>
      </c>
      <c r="FQ15" s="398">
        <f t="shared" si="95"/>
        <v>6.3774006706635467</v>
      </c>
      <c r="FR15" s="398">
        <f t="shared" si="95"/>
        <v>4.9180304287849363</v>
      </c>
      <c r="FS15" s="398">
        <f t="shared" si="95"/>
        <v>4.8438902306440657</v>
      </c>
      <c r="FT15" s="398">
        <f t="shared" si="95"/>
        <v>10.836747135446201</v>
      </c>
      <c r="FU15" s="398">
        <f t="shared" si="95"/>
        <v>15.527829485667777</v>
      </c>
      <c r="FV15" s="398">
        <f t="shared" si="95"/>
        <v>30.405002847184505</v>
      </c>
      <c r="FW15" s="398">
        <f t="shared" si="95"/>
        <v>10.525223762064551</v>
      </c>
      <c r="FX15" s="398">
        <f t="shared" si="95"/>
        <v>11.788327615360306</v>
      </c>
      <c r="FY15" s="394">
        <f t="shared" ref="FY15:GH15" si="96">(FY14/FL14-1)*100</f>
        <v>10.154536714085616</v>
      </c>
      <c r="FZ15" s="398">
        <f t="shared" si="96"/>
        <v>12.565303109126692</v>
      </c>
      <c r="GA15" s="398">
        <f t="shared" si="96"/>
        <v>9.4445839068121984</v>
      </c>
      <c r="GB15" s="398">
        <f t="shared" si="96"/>
        <v>10.847345438879552</v>
      </c>
      <c r="GC15" s="398">
        <f t="shared" si="96"/>
        <v>6.0086331672451809</v>
      </c>
      <c r="GD15" s="398">
        <f t="shared" si="96"/>
        <v>9.4925141215953737</v>
      </c>
      <c r="GE15" s="398">
        <f t="shared" si="96"/>
        <v>3.4653757196111412</v>
      </c>
      <c r="GF15" s="398">
        <f t="shared" si="96"/>
        <v>5.8594358951517655</v>
      </c>
      <c r="GG15" s="398">
        <f t="shared" si="96"/>
        <v>-9.6237696569494329</v>
      </c>
      <c r="GH15" s="398">
        <f t="shared" si="96"/>
        <v>-11.020213612001228</v>
      </c>
      <c r="GI15" s="398">
        <f>(GI14/FU14-1)*100</f>
        <v>-8.6490064166496072</v>
      </c>
      <c r="GJ15" s="398">
        <f>(GJ14/FV14-1)*100</f>
        <v>-22.932141345723178</v>
      </c>
      <c r="GK15" s="398">
        <f>(GK14/FW14-1)*100</f>
        <v>-16.953909891248053</v>
      </c>
      <c r="GL15" s="419">
        <f t="shared" ref="GL15:HY15" si="97">(GL14/FY14-1)*100</f>
        <v>-1.7106085611892863</v>
      </c>
      <c r="GM15" s="398">
        <f t="shared" si="97"/>
        <v>-8.3671106830153992</v>
      </c>
      <c r="GN15" s="398">
        <f t="shared" si="97"/>
        <v>-7.0190956522656052</v>
      </c>
      <c r="GO15" s="398">
        <f t="shared" si="97"/>
        <v>-5.4649625952813308</v>
      </c>
      <c r="GP15" s="398">
        <f t="shared" si="97"/>
        <v>1.4559822140596035</v>
      </c>
      <c r="GQ15" s="398">
        <f t="shared" si="97"/>
        <v>1.5516038037630464</v>
      </c>
      <c r="GR15" s="398">
        <f t="shared" si="97"/>
        <v>2.6592001992942427</v>
      </c>
      <c r="GS15" s="398">
        <f t="shared" si="97"/>
        <v>5.8931424176084324</v>
      </c>
      <c r="GT15" s="398">
        <f t="shared" si="97"/>
        <v>7.5650350889280293</v>
      </c>
      <c r="GU15" s="398">
        <f t="shared" si="97"/>
        <v>17.540744018679067</v>
      </c>
      <c r="GV15" s="398">
        <f t="shared" si="97"/>
        <v>17.870091127057506</v>
      </c>
      <c r="GW15" s="398">
        <f t="shared" si="97"/>
        <v>21.16877309558387</v>
      </c>
      <c r="GX15" s="398">
        <f t="shared" si="97"/>
        <v>25.905607313453327</v>
      </c>
      <c r="GY15" s="419">
        <f t="shared" si="97"/>
        <v>6.3535994652132555</v>
      </c>
      <c r="GZ15" s="398">
        <f t="shared" si="97"/>
        <v>12.569452152282201</v>
      </c>
      <c r="HA15" s="398">
        <f t="shared" si="97"/>
        <v>11.615569465021158</v>
      </c>
      <c r="HB15" s="398">
        <f t="shared" si="97"/>
        <v>9.0876914029317533</v>
      </c>
      <c r="HC15" s="398">
        <f t="shared" si="97"/>
        <v>6.7506679211277509</v>
      </c>
      <c r="HD15" s="398">
        <f t="shared" si="97"/>
        <v>5.1665852914687838</v>
      </c>
      <c r="HE15" s="398">
        <f t="shared" si="97"/>
        <v>6.1594282402537281</v>
      </c>
      <c r="HF15" s="398">
        <f t="shared" si="97"/>
        <v>2.0658955877148832</v>
      </c>
      <c r="HG15" s="398">
        <f t="shared" si="97"/>
        <v>1.6305988928032145</v>
      </c>
      <c r="HH15" s="398">
        <f t="shared" si="97"/>
        <v>0.95532724354530085</v>
      </c>
      <c r="HI15" s="398">
        <f t="shared" si="97"/>
        <v>-0.9948118217807278</v>
      </c>
      <c r="HJ15" s="398">
        <f t="shared" si="97"/>
        <v>-7.0359653941720275</v>
      </c>
      <c r="HK15" s="398">
        <f t="shared" si="97"/>
        <v>-4.9039212797123426</v>
      </c>
      <c r="HL15" s="419">
        <f t="shared" si="97"/>
        <v>3.2053733653039096</v>
      </c>
      <c r="HM15" s="398">
        <f t="shared" si="97"/>
        <v>1.6614007792256746</v>
      </c>
      <c r="HN15" s="303">
        <f t="shared" si="97"/>
        <v>-0.97321684876905401</v>
      </c>
      <c r="HO15" s="424">
        <f t="shared" si="97"/>
        <v>6.828380746057805</v>
      </c>
      <c r="HP15" s="303">
        <f t="shared" si="97"/>
        <v>9.3530824897919871</v>
      </c>
      <c r="HQ15" s="424">
        <f t="shared" si="97"/>
        <v>-9.5280430772163314</v>
      </c>
      <c r="HR15" s="424">
        <f t="shared" si="97"/>
        <v>-4.2424463493221491</v>
      </c>
      <c r="HS15" s="424">
        <f t="shared" si="97"/>
        <v>-10.358842972592564</v>
      </c>
      <c r="HT15" s="424">
        <f t="shared" si="97"/>
        <v>-6.3493206803100888</v>
      </c>
      <c r="HU15" s="424">
        <f t="shared" si="97"/>
        <v>-9.3707448361478267</v>
      </c>
      <c r="HV15" s="424">
        <f t="shared" si="97"/>
        <v>-9.6037509583338903</v>
      </c>
      <c r="HW15" s="424">
        <f t="shared" si="97"/>
        <v>-4.8809597699365774</v>
      </c>
      <c r="HX15" s="424">
        <f t="shared" si="97"/>
        <v>-11.041074772074467</v>
      </c>
      <c r="HY15" s="474">
        <f t="shared" si="97"/>
        <v>-4.0424105848157694</v>
      </c>
      <c r="HZ15" s="424">
        <f>(630/701-1)*100</f>
        <v>-10.128388017118406</v>
      </c>
      <c r="IA15" s="424">
        <f>(744/780-1)*100</f>
        <v>-4.6153846153846096</v>
      </c>
      <c r="IB15" s="424">
        <f>(764/856-1)*100</f>
        <v>-10.747663551401864</v>
      </c>
      <c r="IC15" s="424">
        <f>(751/882-1)*100</f>
        <v>-14.852607709750565</v>
      </c>
      <c r="ID15" s="424">
        <f>(635/665-1)*100</f>
        <v>-4.5112781954887211</v>
      </c>
      <c r="IE15" s="424">
        <f>(729/788-1)*100</f>
        <v>-7.4873096446700487</v>
      </c>
      <c r="IF15" s="424">
        <f>(723/737-1)*100</f>
        <v>-1.8995929443690662</v>
      </c>
      <c r="IG15" s="424">
        <f>(654/624-1)*100</f>
        <v>4.8076923076923128</v>
      </c>
      <c r="IH15" s="424">
        <f>(755/739-1)*100</f>
        <v>2.1650879566982306</v>
      </c>
      <c r="II15" s="424">
        <f>(735/744-1)*100</f>
        <v>-1.2096774193548376</v>
      </c>
      <c r="IJ15" s="424">
        <f>(772/736-1)*100</f>
        <v>4.8913043478260976</v>
      </c>
      <c r="IK15" s="424">
        <f>(739/683-1)*100</f>
        <v>8.1991215226939964</v>
      </c>
      <c r="IL15" s="474">
        <f>(8629/8934-1)*100</f>
        <v>-3.4139243340049252</v>
      </c>
      <c r="IM15" s="424">
        <f>(IM14/HZ14-1)*100</f>
        <v>4.6866712612867234</v>
      </c>
      <c r="IN15" s="505">
        <f>(IN14/IA14-1)*100</f>
        <v>-8.1910886590510046</v>
      </c>
      <c r="IO15" s="505">
        <f t="shared" ref="IO15:IX15" si="98">(IO14/IB14-1)*100</f>
        <v>7.3873454042789444</v>
      </c>
      <c r="IP15" s="505">
        <f t="shared" si="98"/>
        <v>6.2901467940452038</v>
      </c>
      <c r="IQ15" s="505">
        <f t="shared" si="98"/>
        <v>-4.1830067419058476</v>
      </c>
      <c r="IR15" s="505">
        <f t="shared" si="98"/>
        <v>-2.6818819675639149</v>
      </c>
      <c r="IS15" s="505">
        <f t="shared" si="98"/>
        <v>12.212999832529903</v>
      </c>
      <c r="IT15" s="505">
        <f t="shared" si="98"/>
        <v>-8.2884985364331758</v>
      </c>
      <c r="IU15" s="505">
        <f t="shared" si="98"/>
        <v>-3.0836619064974702</v>
      </c>
      <c r="IV15" s="505">
        <f t="shared" si="98"/>
        <v>0.3037382541381195</v>
      </c>
      <c r="IW15" s="505">
        <f t="shared" si="98"/>
        <v>-2.7991714991562056</v>
      </c>
      <c r="IX15" s="505">
        <f t="shared" si="98"/>
        <v>-3.595551225848348</v>
      </c>
      <c r="IY15" s="474">
        <f t="shared" ref="IY15:JE15" si="99">(IY14/IL14-1)*100</f>
        <v>-0.10408241575043942</v>
      </c>
      <c r="IZ15" s="505">
        <f t="shared" si="99"/>
        <v>-5.8810591063884647</v>
      </c>
      <c r="JA15" s="505">
        <f t="shared" si="99"/>
        <v>5.0808817931042638</v>
      </c>
      <c r="JB15" s="505">
        <f t="shared" si="99"/>
        <v>1.214585756044273</v>
      </c>
      <c r="JC15" s="505">
        <f t="shared" si="99"/>
        <v>3.6425370807871005</v>
      </c>
      <c r="JD15" s="505">
        <f t="shared" si="99"/>
        <v>21.372122774764946</v>
      </c>
      <c r="JE15" s="505">
        <f t="shared" si="99"/>
        <v>22.379808641035616</v>
      </c>
      <c r="JF15" s="505">
        <f>(JF14/811-1)*100</f>
        <v>6.6584463625154022</v>
      </c>
      <c r="JG15" s="505">
        <f>(JG14/600-1)*100</f>
        <v>16.166666666666664</v>
      </c>
      <c r="JH15" s="505">
        <f>(JH14/731-1)*100</f>
        <v>0.41039671682625567</v>
      </c>
      <c r="JI15" s="505">
        <f>(JI14/737-1)*100</f>
        <v>22.116689280868385</v>
      </c>
      <c r="JJ15" s="505">
        <f>(JJ14/750-1)*100</f>
        <v>9.0666666666666664</v>
      </c>
      <c r="JK15" s="505">
        <f>(JK14/713-1)*100</f>
        <v>14.305750350631129</v>
      </c>
      <c r="JL15" s="513">
        <f>(JL14/8620-1)*100</f>
        <v>9.4083526682134497</v>
      </c>
      <c r="JM15" s="505">
        <f>(JM14/620-1)*100</f>
        <v>-0.3225806451612856</v>
      </c>
      <c r="JN15" s="569">
        <f>(JN14/718-1)*100</f>
        <v>6.2674094707520833</v>
      </c>
    </row>
    <row r="16" spans="1:274" ht="13.5" customHeight="1" x14ac:dyDescent="0.3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</row>
    <row r="17" spans="273:273" ht="13.5" customHeight="1" x14ac:dyDescent="0.3"/>
    <row r="18" spans="273:273" ht="13.5" customHeight="1" x14ac:dyDescent="0.3"/>
    <row r="19" spans="273:273" ht="13.5" customHeight="1" x14ac:dyDescent="0.3">
      <c r="JM19" s="538"/>
    </row>
    <row r="20" spans="273:273" ht="13.5" customHeight="1" x14ac:dyDescent="0.3">
      <c r="JM20" s="538"/>
    </row>
    <row r="21" spans="273:273" ht="13.5" customHeight="1" x14ac:dyDescent="0.3">
      <c r="JM21" s="538"/>
    </row>
    <row r="22" spans="273:273" ht="13.5" customHeight="1" x14ac:dyDescent="0.3">
      <c r="JM22" s="538"/>
    </row>
    <row r="23" spans="273:273" ht="13.5" customHeight="1" x14ac:dyDescent="0.3">
      <c r="JM23" s="538"/>
    </row>
    <row r="24" spans="273:273" ht="13.5" customHeight="1" x14ac:dyDescent="0.3">
      <c r="JM24" s="538"/>
    </row>
    <row r="25" spans="273:273" ht="13.5" customHeight="1" x14ac:dyDescent="0.3">
      <c r="JM25" s="538"/>
    </row>
    <row r="26" spans="273:273" ht="13.5" customHeight="1" x14ac:dyDescent="0.3">
      <c r="JM26" s="538"/>
    </row>
    <row r="27" spans="273:273" ht="13.5" customHeight="1" x14ac:dyDescent="0.3">
      <c r="JM27" s="538"/>
    </row>
    <row r="28" spans="273:273" ht="13.5" customHeight="1" x14ac:dyDescent="0.3">
      <c r="JM28" s="538"/>
    </row>
    <row r="29" spans="273:273" ht="13.5" customHeight="1" x14ac:dyDescent="0.3">
      <c r="JM29" s="538"/>
    </row>
    <row r="30" spans="273:273" ht="13.5" customHeight="1" x14ac:dyDescent="0.3">
      <c r="JM30" s="538"/>
    </row>
    <row r="31" spans="273:273" ht="13.5" customHeight="1" x14ac:dyDescent="0.3">
      <c r="JM31" s="538"/>
    </row>
    <row r="32" spans="273:273" x14ac:dyDescent="0.3">
      <c r="JM32" s="538"/>
    </row>
    <row r="33" spans="273:273" x14ac:dyDescent="0.3">
      <c r="JM33" s="538"/>
    </row>
    <row r="34" spans="273:273" x14ac:dyDescent="0.3">
      <c r="JM34" s="538"/>
    </row>
    <row r="35" spans="273:273" x14ac:dyDescent="0.3">
      <c r="JM35" s="538"/>
    </row>
    <row r="36" spans="273:273" x14ac:dyDescent="0.3">
      <c r="JM36" s="538"/>
    </row>
    <row r="37" spans="273:273" x14ac:dyDescent="0.3">
      <c r="JM37" s="538"/>
    </row>
    <row r="38" spans="273:273" x14ac:dyDescent="0.3">
      <c r="JM38" s="538"/>
    </row>
    <row r="39" spans="273:273" x14ac:dyDescent="0.3">
      <c r="JM39" s="538"/>
    </row>
    <row r="40" spans="273:273" x14ac:dyDescent="0.3">
      <c r="JM40" s="538"/>
    </row>
    <row r="41" spans="273:273" x14ac:dyDescent="0.3">
      <c r="JM41" s="538"/>
    </row>
    <row r="42" spans="273:273" x14ac:dyDescent="0.3">
      <c r="JM42" s="538"/>
    </row>
    <row r="43" spans="273:273" x14ac:dyDescent="0.3">
      <c r="JM43" s="538"/>
    </row>
    <row r="44" spans="273:273" x14ac:dyDescent="0.3">
      <c r="JM44" s="538"/>
    </row>
    <row r="45" spans="273:273" x14ac:dyDescent="0.3">
      <c r="JM45" s="538"/>
    </row>
    <row r="46" spans="273:273" x14ac:dyDescent="0.3">
      <c r="JM46" s="538"/>
    </row>
    <row r="47" spans="273:273" x14ac:dyDescent="0.3">
      <c r="JM47" s="538"/>
    </row>
    <row r="48" spans="273:273" x14ac:dyDescent="0.3">
      <c r="JM48" s="538"/>
    </row>
    <row r="49" spans="273:273" x14ac:dyDescent="0.3">
      <c r="JM49" s="538"/>
    </row>
    <row r="50" spans="273:273" x14ac:dyDescent="0.3">
      <c r="JM50" s="538"/>
    </row>
    <row r="51" spans="273:273" x14ac:dyDescent="0.3">
      <c r="JM51" s="538"/>
    </row>
    <row r="52" spans="273:273" x14ac:dyDescent="0.3">
      <c r="JM52" s="538"/>
    </row>
    <row r="53" spans="273:273" x14ac:dyDescent="0.3">
      <c r="JM53" s="538"/>
    </row>
    <row r="54" spans="273:273" x14ac:dyDescent="0.3">
      <c r="JM54" s="538"/>
    </row>
    <row r="55" spans="273:273" x14ac:dyDescent="0.3">
      <c r="JM55" s="538"/>
    </row>
    <row r="56" spans="273:273" x14ac:dyDescent="0.3">
      <c r="JM56" s="538"/>
    </row>
    <row r="57" spans="273:273" x14ac:dyDescent="0.3">
      <c r="JM57" s="538"/>
    </row>
    <row r="58" spans="273:273" x14ac:dyDescent="0.3">
      <c r="JM58" s="538"/>
    </row>
    <row r="59" spans="273:273" x14ac:dyDescent="0.3">
      <c r="JM59" s="538"/>
    </row>
    <row r="60" spans="273:273" x14ac:dyDescent="0.3">
      <c r="JM60" s="538"/>
    </row>
    <row r="61" spans="273:273" x14ac:dyDescent="0.3">
      <c r="JM61" s="538"/>
    </row>
    <row r="62" spans="273:273" x14ac:dyDescent="0.3">
      <c r="JM62" s="538"/>
    </row>
    <row r="63" spans="273:273" x14ac:dyDescent="0.3">
      <c r="JM63" s="538"/>
    </row>
    <row r="64" spans="273:273" x14ac:dyDescent="0.3">
      <c r="JM64" s="538"/>
    </row>
    <row r="65" spans="273:273" x14ac:dyDescent="0.3">
      <c r="JM65" s="538"/>
    </row>
    <row r="66" spans="273:273" x14ac:dyDescent="0.3">
      <c r="JM66" s="538"/>
    </row>
    <row r="67" spans="273:273" x14ac:dyDescent="0.3">
      <c r="JM67" s="538"/>
    </row>
    <row r="68" spans="273:273" x14ac:dyDescent="0.3">
      <c r="JM68" s="538"/>
    </row>
    <row r="69" spans="273:273" x14ac:dyDescent="0.3">
      <c r="JM69" s="538"/>
    </row>
    <row r="70" spans="273:273" x14ac:dyDescent="0.3">
      <c r="JM70" s="538"/>
    </row>
    <row r="71" spans="273:273" x14ac:dyDescent="0.3">
      <c r="JM71" s="538"/>
    </row>
    <row r="72" spans="273:273" x14ac:dyDescent="0.3">
      <c r="JM72" s="538"/>
    </row>
    <row r="73" spans="273:273" x14ac:dyDescent="0.3">
      <c r="JM73" s="538"/>
    </row>
    <row r="74" spans="273:273" x14ac:dyDescent="0.3">
      <c r="JM74" s="538"/>
    </row>
    <row r="75" spans="273:273" x14ac:dyDescent="0.3">
      <c r="JM75" s="538"/>
    </row>
    <row r="76" spans="273:273" x14ac:dyDescent="0.3">
      <c r="JM76" s="538"/>
    </row>
    <row r="77" spans="273:273" x14ac:dyDescent="0.3">
      <c r="JM77" s="538"/>
    </row>
    <row r="78" spans="273:273" x14ac:dyDescent="0.3">
      <c r="JM78" s="538"/>
    </row>
    <row r="79" spans="273:273" x14ac:dyDescent="0.3">
      <c r="JM79" s="538"/>
    </row>
    <row r="80" spans="273:273" x14ac:dyDescent="0.3">
      <c r="JM80" s="539"/>
    </row>
    <row r="81" spans="273:273" x14ac:dyDescent="0.3">
      <c r="JM81" s="538"/>
    </row>
  </sheetData>
  <mergeCells count="6">
    <mergeCell ref="A12:A13"/>
    <mergeCell ref="A14:A15"/>
    <mergeCell ref="A4:A5"/>
    <mergeCell ref="A6:A7"/>
    <mergeCell ref="A8:A9"/>
    <mergeCell ref="A10:A11"/>
  </mergeCells>
  <phoneticPr fontId="2"/>
  <pageMargins left="0.78700000000000003" right="0.78700000000000003" top="0.98399999999999999" bottom="0.98399999999999999" header="0.51200000000000001" footer="0.51200000000000001"/>
  <pageSetup paperSize="8" scale="90" orientation="landscape" r:id="rId1"/>
  <headerFooter alignWithMargins="0">
    <oddHeader>&amp;L金属熱処理加工月報（用途別）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F29"/>
  <sheetViews>
    <sheetView zoomScaleNormal="100" workbookViewId="0">
      <pane xSplit="2" ySplit="3" topLeftCell="IW4" activePane="bottomRight" state="frozen"/>
      <selection pane="topRight" activeCell="C1" sqref="C1"/>
      <selection pane="bottomLeft" activeCell="A4" sqref="A4"/>
      <selection pane="bottomRight" activeCell="JN28" sqref="JN28"/>
    </sheetView>
  </sheetViews>
  <sheetFormatPr defaultRowHeight="13.5" x14ac:dyDescent="0.15"/>
  <cols>
    <col min="1" max="1" width="18.625" customWidth="1"/>
    <col min="2" max="2" width="12.625" customWidth="1"/>
    <col min="3" max="14" width="9.5" customWidth="1"/>
    <col min="15" max="26" width="9" hidden="1" customWidth="1"/>
    <col min="27" max="36" width="9.125" hidden="1" customWidth="1"/>
    <col min="37" max="37" width="9" hidden="1" customWidth="1"/>
    <col min="38" max="38" width="9.125" hidden="1" customWidth="1"/>
    <col min="39" max="39" width="9.125" customWidth="1"/>
    <col min="40" max="42" width="9.125" hidden="1" customWidth="1"/>
    <col min="43" max="51" width="8.625" hidden="1" customWidth="1"/>
    <col min="52" max="52" width="8.625" customWidth="1"/>
    <col min="53" max="76" width="0" hidden="1" customWidth="1"/>
    <col min="82" max="83" width="9" style="145"/>
    <col min="91" max="96" width="9" style="283"/>
    <col min="223" max="227" width="9.375" bestFit="1" customWidth="1"/>
    <col min="228" max="232" width="9.375" customWidth="1"/>
    <col min="234" max="236" width="9.375" customWidth="1"/>
    <col min="238" max="245" width="9" customWidth="1"/>
    <col min="248" max="256" width="9" customWidth="1"/>
    <col min="257" max="257" width="9" style="283" customWidth="1"/>
    <col min="258" max="259" width="9" customWidth="1"/>
    <col min="261" max="265" width="9" customWidth="1"/>
    <col min="266" max="266" width="9" style="283" customWidth="1"/>
    <col min="267" max="271" width="8.75" customWidth="1"/>
    <col min="272" max="272" width="8.75" style="526" customWidth="1"/>
    <col min="273" max="273" width="9.875" bestFit="1" customWidth="1"/>
    <col min="275" max="291" width="9" customWidth="1"/>
  </cols>
  <sheetData>
    <row r="1" spans="1:292" x14ac:dyDescent="0.15">
      <c r="A1" t="s">
        <v>34</v>
      </c>
    </row>
    <row r="2" spans="1:292" ht="14.25" thickBot="1" x14ac:dyDescent="0.2"/>
    <row r="3" spans="1:292" ht="14.25" thickBot="1" x14ac:dyDescent="0.2">
      <c r="A3" s="9"/>
      <c r="B3" s="10"/>
      <c r="C3" s="91" t="s">
        <v>37</v>
      </c>
      <c r="D3" s="92" t="s">
        <v>36</v>
      </c>
      <c r="E3" s="93" t="s">
        <v>38</v>
      </c>
      <c r="F3" s="92" t="s">
        <v>39</v>
      </c>
      <c r="G3" s="93" t="s">
        <v>40</v>
      </c>
      <c r="H3" s="92" t="s">
        <v>41</v>
      </c>
      <c r="I3" s="93" t="s">
        <v>42</v>
      </c>
      <c r="J3" s="92" t="s">
        <v>43</v>
      </c>
      <c r="K3" s="93" t="s">
        <v>44</v>
      </c>
      <c r="L3" s="92" t="s">
        <v>45</v>
      </c>
      <c r="M3" s="93" t="s">
        <v>46</v>
      </c>
      <c r="N3" s="92" t="s">
        <v>47</v>
      </c>
      <c r="O3" s="93" t="s">
        <v>48</v>
      </c>
      <c r="P3" s="92" t="s">
        <v>49</v>
      </c>
      <c r="Q3" s="92" t="s">
        <v>50</v>
      </c>
      <c r="R3" s="92" t="s">
        <v>51</v>
      </c>
      <c r="S3" s="92" t="s">
        <v>52</v>
      </c>
      <c r="T3" s="92" t="s">
        <v>53</v>
      </c>
      <c r="U3" s="92" t="s">
        <v>54</v>
      </c>
      <c r="V3" s="92" t="s">
        <v>55</v>
      </c>
      <c r="W3" s="92" t="s">
        <v>56</v>
      </c>
      <c r="X3" s="92" t="s">
        <v>57</v>
      </c>
      <c r="Y3" s="92" t="s">
        <v>58</v>
      </c>
      <c r="Z3" s="92" t="s">
        <v>59</v>
      </c>
      <c r="AA3" s="93" t="s">
        <v>60</v>
      </c>
      <c r="AB3" s="92" t="s">
        <v>61</v>
      </c>
      <c r="AC3" s="93" t="s">
        <v>62</v>
      </c>
      <c r="AD3" s="92" t="s">
        <v>63</v>
      </c>
      <c r="AE3" s="93" t="s">
        <v>64</v>
      </c>
      <c r="AF3" s="92" t="s">
        <v>65</v>
      </c>
      <c r="AG3" s="93" t="s">
        <v>66</v>
      </c>
      <c r="AH3" s="92" t="s">
        <v>67</v>
      </c>
      <c r="AI3" s="93" t="s">
        <v>68</v>
      </c>
      <c r="AJ3" s="92" t="s">
        <v>69</v>
      </c>
      <c r="AK3" s="93" t="s">
        <v>70</v>
      </c>
      <c r="AL3" s="92" t="s">
        <v>71</v>
      </c>
      <c r="AM3" s="93" t="s">
        <v>165</v>
      </c>
      <c r="AN3" s="115" t="s">
        <v>72</v>
      </c>
      <c r="AO3" s="92" t="s">
        <v>73</v>
      </c>
      <c r="AP3" s="94" t="s">
        <v>74</v>
      </c>
      <c r="AQ3" s="93" t="s">
        <v>152</v>
      </c>
      <c r="AR3" s="93" t="s">
        <v>153</v>
      </c>
      <c r="AS3" s="92" t="s">
        <v>154</v>
      </c>
      <c r="AT3" s="93" t="s">
        <v>155</v>
      </c>
      <c r="AU3" s="92" t="s">
        <v>156</v>
      </c>
      <c r="AV3" s="93" t="s">
        <v>157</v>
      </c>
      <c r="AW3" s="92" t="s">
        <v>158</v>
      </c>
      <c r="AX3" s="93" t="s">
        <v>159</v>
      </c>
      <c r="AY3" s="92" t="s">
        <v>160</v>
      </c>
      <c r="AZ3" s="130" t="s">
        <v>193</v>
      </c>
      <c r="BA3" s="111" t="s">
        <v>164</v>
      </c>
      <c r="BB3" s="112" t="s">
        <v>166</v>
      </c>
      <c r="BC3" s="112" t="s">
        <v>167</v>
      </c>
      <c r="BD3" s="112" t="s">
        <v>169</v>
      </c>
      <c r="BE3" s="112" t="s">
        <v>172</v>
      </c>
      <c r="BF3" s="112" t="s">
        <v>173</v>
      </c>
      <c r="BG3" s="112" t="s">
        <v>177</v>
      </c>
      <c r="BH3" s="112" t="s">
        <v>179</v>
      </c>
      <c r="BI3" s="112" t="s">
        <v>184</v>
      </c>
      <c r="BJ3" s="112" t="s">
        <v>186</v>
      </c>
      <c r="BK3" s="112" t="s">
        <v>188</v>
      </c>
      <c r="BL3" s="112" t="s">
        <v>194</v>
      </c>
      <c r="BM3" s="112" t="s">
        <v>196</v>
      </c>
      <c r="BN3" s="112" t="s">
        <v>198</v>
      </c>
      <c r="BO3" s="112" t="s">
        <v>200</v>
      </c>
      <c r="BP3" s="112" t="s">
        <v>202</v>
      </c>
      <c r="BQ3" s="112" t="s">
        <v>205</v>
      </c>
      <c r="BR3" s="112" t="s">
        <v>207</v>
      </c>
      <c r="BS3" s="112" t="s">
        <v>209</v>
      </c>
      <c r="BT3" s="141" t="s">
        <v>211</v>
      </c>
      <c r="BU3" s="141" t="s">
        <v>213</v>
      </c>
      <c r="BV3" s="141" t="s">
        <v>215</v>
      </c>
      <c r="BW3" s="141" t="s">
        <v>217</v>
      </c>
      <c r="BX3" s="141" t="s">
        <v>219</v>
      </c>
      <c r="BY3" s="130" t="s">
        <v>222</v>
      </c>
      <c r="BZ3" s="150" t="s">
        <v>221</v>
      </c>
      <c r="CA3" s="112" t="s">
        <v>223</v>
      </c>
      <c r="CB3" s="112" t="s">
        <v>224</v>
      </c>
      <c r="CC3" s="112" t="s">
        <v>225</v>
      </c>
      <c r="CD3" s="146" t="s">
        <v>226</v>
      </c>
      <c r="CE3" s="151" t="s">
        <v>227</v>
      </c>
      <c r="CF3" s="112" t="s">
        <v>228</v>
      </c>
      <c r="CG3" s="151" t="s">
        <v>229</v>
      </c>
      <c r="CH3" s="151" t="s">
        <v>230</v>
      </c>
      <c r="CI3" s="151" t="s">
        <v>231</v>
      </c>
      <c r="CJ3" s="112" t="s">
        <v>232</v>
      </c>
      <c r="CK3" s="148" t="s">
        <v>233</v>
      </c>
      <c r="CL3" s="305" t="s">
        <v>246</v>
      </c>
      <c r="CM3" s="265" t="s">
        <v>234</v>
      </c>
      <c r="CN3" s="266" t="s">
        <v>235</v>
      </c>
      <c r="CO3" s="266" t="s">
        <v>236</v>
      </c>
      <c r="CP3" s="322" t="s">
        <v>237</v>
      </c>
      <c r="CQ3" s="329" t="s">
        <v>238</v>
      </c>
      <c r="CR3" s="329" t="s">
        <v>239</v>
      </c>
      <c r="CS3" s="329" t="s">
        <v>240</v>
      </c>
      <c r="CT3" s="329" t="s">
        <v>241</v>
      </c>
      <c r="CU3" s="329" t="s">
        <v>242</v>
      </c>
      <c r="CV3" s="329" t="s">
        <v>243</v>
      </c>
      <c r="CW3" s="322" t="s">
        <v>244</v>
      </c>
      <c r="CX3" s="312" t="s">
        <v>245</v>
      </c>
      <c r="CY3" s="305" t="s">
        <v>247</v>
      </c>
      <c r="CZ3" s="322" t="s">
        <v>248</v>
      </c>
      <c r="DA3" s="322" t="s">
        <v>254</v>
      </c>
      <c r="DB3" s="322" t="s">
        <v>256</v>
      </c>
      <c r="DC3" s="322" t="s">
        <v>258</v>
      </c>
      <c r="DD3" s="322" t="s">
        <v>260</v>
      </c>
      <c r="DE3" s="322" t="s">
        <v>262</v>
      </c>
      <c r="DF3" s="322" t="s">
        <v>264</v>
      </c>
      <c r="DG3" s="322" t="s">
        <v>266</v>
      </c>
      <c r="DH3" s="322" t="s">
        <v>269</v>
      </c>
      <c r="DI3" s="322" t="s">
        <v>268</v>
      </c>
      <c r="DJ3" s="322" t="s">
        <v>270</v>
      </c>
      <c r="DK3" s="322" t="s">
        <v>271</v>
      </c>
      <c r="DL3" s="305" t="s">
        <v>275</v>
      </c>
      <c r="DM3" s="322" t="s">
        <v>273</v>
      </c>
      <c r="DN3" s="322" t="s">
        <v>276</v>
      </c>
      <c r="DO3" s="322" t="s">
        <v>277</v>
      </c>
      <c r="DP3" s="322" t="s">
        <v>279</v>
      </c>
      <c r="DQ3" s="322" t="s">
        <v>280</v>
      </c>
      <c r="DR3" s="322" t="s">
        <v>281</v>
      </c>
      <c r="DS3" s="322" t="s">
        <v>282</v>
      </c>
      <c r="DT3" s="322" t="s">
        <v>283</v>
      </c>
      <c r="DU3" s="322" t="s">
        <v>284</v>
      </c>
      <c r="DV3" s="322" t="s">
        <v>285</v>
      </c>
      <c r="DW3" s="322" t="s">
        <v>286</v>
      </c>
      <c r="DX3" s="266" t="s">
        <v>287</v>
      </c>
      <c r="DY3" s="305" t="s">
        <v>288</v>
      </c>
      <c r="DZ3" s="322" t="s">
        <v>291</v>
      </c>
      <c r="EA3" s="322" t="s">
        <v>292</v>
      </c>
      <c r="EB3" s="322" t="s">
        <v>293</v>
      </c>
      <c r="EC3" s="322" t="s">
        <v>294</v>
      </c>
      <c r="ED3" s="322" t="s">
        <v>295</v>
      </c>
      <c r="EE3" s="322" t="s">
        <v>296</v>
      </c>
      <c r="EF3" s="322" t="s">
        <v>297</v>
      </c>
      <c r="EG3" s="322" t="s">
        <v>298</v>
      </c>
      <c r="EH3" s="322" t="s">
        <v>299</v>
      </c>
      <c r="EI3" s="322" t="s">
        <v>300</v>
      </c>
      <c r="EJ3" s="322" t="s">
        <v>301</v>
      </c>
      <c r="EK3" s="322" t="s">
        <v>302</v>
      </c>
      <c r="EL3" s="305" t="s">
        <v>305</v>
      </c>
      <c r="EM3" s="322" t="s">
        <v>303</v>
      </c>
      <c r="EN3" s="322" t="s">
        <v>306</v>
      </c>
      <c r="EO3" s="322" t="s">
        <v>307</v>
      </c>
      <c r="EP3" s="322" t="s">
        <v>308</v>
      </c>
      <c r="EQ3" s="322" t="s">
        <v>309</v>
      </c>
      <c r="ER3" s="322" t="s">
        <v>310</v>
      </c>
      <c r="ES3" s="322" t="s">
        <v>311</v>
      </c>
      <c r="ET3" s="322" t="s">
        <v>312</v>
      </c>
      <c r="EU3" s="322" t="s">
        <v>313</v>
      </c>
      <c r="EV3" s="322" t="s">
        <v>314</v>
      </c>
      <c r="EW3" s="322" t="s">
        <v>315</v>
      </c>
      <c r="EX3" s="322" t="s">
        <v>316</v>
      </c>
      <c r="EY3" s="305" t="s">
        <v>317</v>
      </c>
      <c r="EZ3" s="322" t="s">
        <v>318</v>
      </c>
      <c r="FA3" s="322" t="s">
        <v>320</v>
      </c>
      <c r="FB3" s="322" t="s">
        <v>321</v>
      </c>
      <c r="FC3" s="322" t="s">
        <v>322</v>
      </c>
      <c r="FD3" s="322" t="s">
        <v>323</v>
      </c>
      <c r="FE3" s="322" t="s">
        <v>324</v>
      </c>
      <c r="FF3" s="322" t="s">
        <v>325</v>
      </c>
      <c r="FG3" s="322" t="s">
        <v>326</v>
      </c>
      <c r="FH3" s="322" t="s">
        <v>327</v>
      </c>
      <c r="FI3" s="322" t="s">
        <v>328</v>
      </c>
      <c r="FJ3" s="322" t="s">
        <v>329</v>
      </c>
      <c r="FK3" s="322" t="s">
        <v>330</v>
      </c>
      <c r="FL3" s="305" t="s">
        <v>332</v>
      </c>
      <c r="FM3" s="322" t="s">
        <v>333</v>
      </c>
      <c r="FN3" s="322" t="s">
        <v>334</v>
      </c>
      <c r="FO3" s="322" t="s">
        <v>335</v>
      </c>
      <c r="FP3" s="322" t="s">
        <v>336</v>
      </c>
      <c r="FQ3" s="322" t="s">
        <v>337</v>
      </c>
      <c r="FR3" s="322" t="s">
        <v>338</v>
      </c>
      <c r="FS3" s="322" t="s">
        <v>339</v>
      </c>
      <c r="FT3" s="322" t="s">
        <v>340</v>
      </c>
      <c r="FU3" s="322" t="s">
        <v>341</v>
      </c>
      <c r="FV3" s="322" t="s">
        <v>342</v>
      </c>
      <c r="FW3" s="322" t="s">
        <v>343</v>
      </c>
      <c r="FX3" s="322" t="s">
        <v>344</v>
      </c>
      <c r="FY3" s="305" t="s">
        <v>347</v>
      </c>
      <c r="FZ3" s="322" t="s">
        <v>346</v>
      </c>
      <c r="GA3" s="322" t="s">
        <v>348</v>
      </c>
      <c r="GB3" s="322" t="s">
        <v>349</v>
      </c>
      <c r="GC3" s="322" t="s">
        <v>350</v>
      </c>
      <c r="GD3" s="322" t="s">
        <v>351</v>
      </c>
      <c r="GE3" s="322" t="s">
        <v>352</v>
      </c>
      <c r="GF3" s="322" t="s">
        <v>353</v>
      </c>
      <c r="GG3" s="322" t="s">
        <v>354</v>
      </c>
      <c r="GH3" s="322" t="s">
        <v>355</v>
      </c>
      <c r="GI3" s="322" t="s">
        <v>356</v>
      </c>
      <c r="GJ3" s="322" t="s">
        <v>357</v>
      </c>
      <c r="GK3" s="322" t="s">
        <v>358</v>
      </c>
      <c r="GL3" s="305" t="s">
        <v>359</v>
      </c>
      <c r="GM3" s="322" t="s">
        <v>361</v>
      </c>
      <c r="GN3" s="322" t="s">
        <v>362</v>
      </c>
      <c r="GO3" s="322" t="s">
        <v>363</v>
      </c>
      <c r="GP3" s="322" t="s">
        <v>364</v>
      </c>
      <c r="GQ3" s="322" t="s">
        <v>365</v>
      </c>
      <c r="GR3" s="322" t="s">
        <v>366</v>
      </c>
      <c r="GS3" s="322" t="s">
        <v>367</v>
      </c>
      <c r="GT3" s="322" t="s">
        <v>368</v>
      </c>
      <c r="GU3" s="322" t="s">
        <v>369</v>
      </c>
      <c r="GV3" s="322" t="s">
        <v>370</v>
      </c>
      <c r="GW3" s="322" t="s">
        <v>371</v>
      </c>
      <c r="GX3" s="322" t="s">
        <v>372</v>
      </c>
      <c r="GY3" s="305" t="s">
        <v>376</v>
      </c>
      <c r="GZ3" s="322" t="s">
        <v>374</v>
      </c>
      <c r="HA3" s="322" t="s">
        <v>377</v>
      </c>
      <c r="HB3" s="322" t="s">
        <v>378</v>
      </c>
      <c r="HC3" s="322" t="s">
        <v>379</v>
      </c>
      <c r="HD3" s="322" t="s">
        <v>380</v>
      </c>
      <c r="HE3" s="322" t="s">
        <v>381</v>
      </c>
      <c r="HF3" s="322" t="s">
        <v>382</v>
      </c>
      <c r="HG3" s="322" t="s">
        <v>383</v>
      </c>
      <c r="HH3" s="322" t="s">
        <v>384</v>
      </c>
      <c r="HI3" s="322" t="s">
        <v>385</v>
      </c>
      <c r="HJ3" s="322" t="s">
        <v>386</v>
      </c>
      <c r="HK3" s="322" t="s">
        <v>387</v>
      </c>
      <c r="HL3" s="305" t="s">
        <v>389</v>
      </c>
      <c r="HM3" s="322" t="s">
        <v>390</v>
      </c>
      <c r="HN3" s="322" t="s">
        <v>391</v>
      </c>
      <c r="HO3" s="322" t="s">
        <v>392</v>
      </c>
      <c r="HP3" s="322" t="s">
        <v>393</v>
      </c>
      <c r="HQ3" s="266" t="s">
        <v>394</v>
      </c>
      <c r="HR3" s="437" t="s">
        <v>395</v>
      </c>
      <c r="HS3" s="409" t="s">
        <v>396</v>
      </c>
      <c r="HT3" s="409" t="s">
        <v>397</v>
      </c>
      <c r="HU3" s="409" t="s">
        <v>398</v>
      </c>
      <c r="HV3" s="409" t="s">
        <v>399</v>
      </c>
      <c r="HW3" s="409" t="s">
        <v>400</v>
      </c>
      <c r="HX3" s="409" t="s">
        <v>401</v>
      </c>
      <c r="HY3" s="476" t="s">
        <v>402</v>
      </c>
      <c r="HZ3" s="409" t="s">
        <v>404</v>
      </c>
      <c r="IA3" s="409" t="s">
        <v>405</v>
      </c>
      <c r="IB3" s="409" t="s">
        <v>406</v>
      </c>
      <c r="IC3" s="409" t="s">
        <v>407</v>
      </c>
      <c r="ID3" s="409" t="s">
        <v>408</v>
      </c>
      <c r="IE3" s="409" t="s">
        <v>409</v>
      </c>
      <c r="IF3" s="409" t="s">
        <v>410</v>
      </c>
      <c r="IG3" s="409" t="s">
        <v>411</v>
      </c>
      <c r="IH3" s="409" t="s">
        <v>412</v>
      </c>
      <c r="II3" s="409" t="s">
        <v>413</v>
      </c>
      <c r="IJ3" s="409" t="s">
        <v>414</v>
      </c>
      <c r="IK3" s="409" t="s">
        <v>415</v>
      </c>
      <c r="IL3" s="475" t="s">
        <v>434</v>
      </c>
      <c r="IM3" s="409" t="s">
        <v>421</v>
      </c>
      <c r="IN3" s="409" t="s">
        <v>422</v>
      </c>
      <c r="IO3" s="409" t="s">
        <v>423</v>
      </c>
      <c r="IP3" s="409" t="s">
        <v>424</v>
      </c>
      <c r="IQ3" s="409" t="s">
        <v>425</v>
      </c>
      <c r="IR3" s="409" t="s">
        <v>426</v>
      </c>
      <c r="IS3" s="409" t="s">
        <v>427</v>
      </c>
      <c r="IT3" s="409" t="s">
        <v>428</v>
      </c>
      <c r="IU3" s="409" t="s">
        <v>429</v>
      </c>
      <c r="IV3" s="409" t="s">
        <v>430</v>
      </c>
      <c r="IW3" s="409" t="s">
        <v>431</v>
      </c>
      <c r="IX3" s="409" t="s">
        <v>432</v>
      </c>
      <c r="IY3" s="475" t="s">
        <v>433</v>
      </c>
      <c r="IZ3" s="409" t="s">
        <v>436</v>
      </c>
      <c r="JA3" s="409" t="s">
        <v>437</v>
      </c>
      <c r="JB3" s="409" t="s">
        <v>438</v>
      </c>
      <c r="JC3" s="409" t="s">
        <v>439</v>
      </c>
      <c r="JD3" s="409" t="s">
        <v>440</v>
      </c>
      <c r="JE3" s="409" t="s">
        <v>441</v>
      </c>
      <c r="JF3" s="409" t="s">
        <v>442</v>
      </c>
      <c r="JG3" s="409" t="s">
        <v>443</v>
      </c>
      <c r="JH3" s="409" t="s">
        <v>444</v>
      </c>
      <c r="JI3" s="409" t="s">
        <v>445</v>
      </c>
      <c r="JJ3" s="409" t="s">
        <v>446</v>
      </c>
      <c r="JK3" s="409" t="s">
        <v>447</v>
      </c>
      <c r="JL3" s="527" t="s">
        <v>448</v>
      </c>
      <c r="JM3" s="537" t="s">
        <v>449</v>
      </c>
      <c r="JN3" s="570" t="s">
        <v>450</v>
      </c>
    </row>
    <row r="4" spans="1:292" x14ac:dyDescent="0.15">
      <c r="A4" s="553" t="s">
        <v>123</v>
      </c>
      <c r="B4" s="11" t="s">
        <v>121</v>
      </c>
      <c r="C4" s="12">
        <v>3230</v>
      </c>
      <c r="D4" s="13">
        <v>3513</v>
      </c>
      <c r="E4" s="14">
        <v>3358</v>
      </c>
      <c r="F4" s="13">
        <v>2982</v>
      </c>
      <c r="G4" s="14">
        <v>2768</v>
      </c>
      <c r="H4" s="13">
        <v>8824</v>
      </c>
      <c r="I4" s="14">
        <v>2895</v>
      </c>
      <c r="J4" s="13">
        <v>2864</v>
      </c>
      <c r="K4" s="14">
        <v>3084</v>
      </c>
      <c r="L4" s="131">
        <v>2472</v>
      </c>
      <c r="M4" s="14">
        <v>2588</v>
      </c>
      <c r="N4" s="13">
        <f>SUM(AA4:AL4)</f>
        <v>2944</v>
      </c>
      <c r="O4" s="14">
        <v>188</v>
      </c>
      <c r="P4" s="13">
        <v>193</v>
      </c>
      <c r="Q4" s="13">
        <v>224</v>
      </c>
      <c r="R4" s="13">
        <v>254</v>
      </c>
      <c r="S4" s="13">
        <v>182</v>
      </c>
      <c r="T4" s="13">
        <v>200</v>
      </c>
      <c r="U4" s="13">
        <v>228</v>
      </c>
      <c r="V4" s="13">
        <v>172</v>
      </c>
      <c r="W4" s="13">
        <v>230</v>
      </c>
      <c r="X4" s="13">
        <v>235</v>
      </c>
      <c r="Y4" s="13">
        <v>231</v>
      </c>
      <c r="Z4" s="13">
        <v>251</v>
      </c>
      <c r="AA4" s="14">
        <v>223</v>
      </c>
      <c r="AB4" s="13">
        <v>275</v>
      </c>
      <c r="AC4" s="14">
        <v>231</v>
      </c>
      <c r="AD4" s="13">
        <v>255</v>
      </c>
      <c r="AE4" s="14">
        <v>199</v>
      </c>
      <c r="AF4" s="13">
        <v>238</v>
      </c>
      <c r="AG4" s="14">
        <v>233</v>
      </c>
      <c r="AH4" s="13">
        <v>240</v>
      </c>
      <c r="AI4" s="14">
        <v>280</v>
      </c>
      <c r="AJ4" s="13">
        <v>246</v>
      </c>
      <c r="AK4" s="14">
        <v>262</v>
      </c>
      <c r="AL4" s="13">
        <v>262</v>
      </c>
      <c r="AM4" s="14">
        <f>SUM(AN4:AY4)</f>
        <v>2730</v>
      </c>
      <c r="AN4" s="113">
        <v>226</v>
      </c>
      <c r="AO4" s="13">
        <v>237</v>
      </c>
      <c r="AP4" s="85">
        <v>264</v>
      </c>
      <c r="AQ4" s="101">
        <v>237</v>
      </c>
      <c r="AR4" s="29">
        <v>228</v>
      </c>
      <c r="AS4" s="28">
        <v>229</v>
      </c>
      <c r="AT4" s="29">
        <v>195</v>
      </c>
      <c r="AU4" s="28">
        <v>230</v>
      </c>
      <c r="AV4" s="29">
        <v>256</v>
      </c>
      <c r="AW4" s="28">
        <v>212</v>
      </c>
      <c r="AX4" s="29">
        <v>215</v>
      </c>
      <c r="AY4" s="28">
        <v>201</v>
      </c>
      <c r="AZ4" s="110">
        <f>SUM(BA4:BL4)</f>
        <v>2745</v>
      </c>
      <c r="BA4" s="12">
        <v>159</v>
      </c>
      <c r="BB4" s="14">
        <v>217</v>
      </c>
      <c r="BC4" s="14">
        <v>210</v>
      </c>
      <c r="BD4" s="14">
        <v>252</v>
      </c>
      <c r="BE4" s="14">
        <v>189</v>
      </c>
      <c r="BF4" s="14">
        <v>227</v>
      </c>
      <c r="BG4" s="14">
        <v>240</v>
      </c>
      <c r="BH4" s="14">
        <v>221</v>
      </c>
      <c r="BI4" s="14">
        <v>246</v>
      </c>
      <c r="BJ4" s="14">
        <v>245</v>
      </c>
      <c r="BK4" s="14">
        <v>234</v>
      </c>
      <c r="BL4" s="14">
        <v>305</v>
      </c>
      <c r="BM4" s="14">
        <v>212</v>
      </c>
      <c r="BN4" s="14">
        <v>244</v>
      </c>
      <c r="BO4" s="14">
        <v>272</v>
      </c>
      <c r="BP4" s="14">
        <v>259</v>
      </c>
      <c r="BQ4" s="14">
        <v>247</v>
      </c>
      <c r="BR4" s="14">
        <v>242</v>
      </c>
      <c r="BS4" s="14">
        <v>314</v>
      </c>
      <c r="BT4" s="14">
        <v>282</v>
      </c>
      <c r="BU4" s="14">
        <v>264</v>
      </c>
      <c r="BV4" s="14">
        <v>274</v>
      </c>
      <c r="BW4" s="14">
        <v>248</v>
      </c>
      <c r="BX4" s="14">
        <v>294</v>
      </c>
      <c r="BY4" s="110">
        <f>SUM(BM4:BX4)</f>
        <v>3152</v>
      </c>
      <c r="BZ4" s="12">
        <v>301</v>
      </c>
      <c r="CA4" s="14">
        <v>291</v>
      </c>
      <c r="CB4" s="14">
        <v>333</v>
      </c>
      <c r="CC4" s="14">
        <v>319</v>
      </c>
      <c r="CD4" s="147">
        <v>311</v>
      </c>
      <c r="CE4" s="155">
        <v>268</v>
      </c>
      <c r="CF4" s="155">
        <v>336</v>
      </c>
      <c r="CG4" s="155">
        <v>312</v>
      </c>
      <c r="CH4" s="155">
        <v>342</v>
      </c>
      <c r="CI4" s="155">
        <v>254</v>
      </c>
      <c r="CJ4" s="149">
        <v>332</v>
      </c>
      <c r="CK4" s="11">
        <v>298</v>
      </c>
      <c r="CL4" s="102">
        <f>SUM(BZ4:CK4)</f>
        <v>3697</v>
      </c>
      <c r="CM4" s="285">
        <v>286</v>
      </c>
      <c r="CN4" s="286">
        <v>290</v>
      </c>
      <c r="CO4" s="286">
        <v>358</v>
      </c>
      <c r="CP4" s="323">
        <v>298</v>
      </c>
      <c r="CQ4" s="330">
        <v>314</v>
      </c>
      <c r="CR4" s="330">
        <v>328</v>
      </c>
      <c r="CS4" s="330">
        <v>316</v>
      </c>
      <c r="CT4" s="330">
        <v>385</v>
      </c>
      <c r="CU4" s="330">
        <v>367</v>
      </c>
      <c r="CV4" s="330">
        <v>317</v>
      </c>
      <c r="CW4" s="323">
        <v>359</v>
      </c>
      <c r="CX4" s="313">
        <v>374</v>
      </c>
      <c r="CY4" s="102">
        <f>SUM(CM4:CX4)</f>
        <v>3992</v>
      </c>
      <c r="CZ4" s="323">
        <v>374</v>
      </c>
      <c r="DA4" s="323">
        <v>340</v>
      </c>
      <c r="DB4" s="323">
        <v>358</v>
      </c>
      <c r="DC4" s="323">
        <v>349</v>
      </c>
      <c r="DD4" s="323">
        <v>311</v>
      </c>
      <c r="DE4" s="323">
        <v>332</v>
      </c>
      <c r="DF4" s="323">
        <v>325</v>
      </c>
      <c r="DG4" s="323">
        <v>340</v>
      </c>
      <c r="DH4" s="323">
        <v>323</v>
      </c>
      <c r="DI4" s="323">
        <v>355</v>
      </c>
      <c r="DJ4" s="323">
        <v>346</v>
      </c>
      <c r="DK4" s="323">
        <v>375</v>
      </c>
      <c r="DL4" s="102">
        <f>SUM(CZ4:DK4)</f>
        <v>4128</v>
      </c>
      <c r="DM4" s="323">
        <v>288</v>
      </c>
      <c r="DN4" s="323">
        <v>376</v>
      </c>
      <c r="DO4" s="323">
        <v>402</v>
      </c>
      <c r="DP4" s="323">
        <v>422</v>
      </c>
      <c r="DQ4" s="323">
        <v>345</v>
      </c>
      <c r="DR4" s="323">
        <v>402</v>
      </c>
      <c r="DS4" s="323">
        <v>377</v>
      </c>
      <c r="DT4" s="323">
        <v>297</v>
      </c>
      <c r="DU4" s="323">
        <v>394</v>
      </c>
      <c r="DV4" s="323">
        <v>388</v>
      </c>
      <c r="DW4" s="323">
        <v>403</v>
      </c>
      <c r="DX4" s="286">
        <v>392</v>
      </c>
      <c r="DY4" s="306">
        <f>SUM(DM4:DX4)</f>
        <v>4486</v>
      </c>
      <c r="DZ4" s="323">
        <v>370</v>
      </c>
      <c r="EA4" s="323">
        <v>293</v>
      </c>
      <c r="EB4" s="323">
        <v>356</v>
      </c>
      <c r="EC4" s="323">
        <v>376</v>
      </c>
      <c r="ED4" s="323">
        <v>423</v>
      </c>
      <c r="EE4" s="323">
        <v>411</v>
      </c>
      <c r="EF4" s="323">
        <v>445</v>
      </c>
      <c r="EG4" s="323">
        <v>389</v>
      </c>
      <c r="EH4" s="323">
        <v>400</v>
      </c>
      <c r="EI4" s="323">
        <v>337</v>
      </c>
      <c r="EJ4" s="323">
        <v>336</v>
      </c>
      <c r="EK4" s="323">
        <v>295</v>
      </c>
      <c r="EL4" s="306">
        <f>SUM(DZ4:EK4)</f>
        <v>4431</v>
      </c>
      <c r="EM4" s="323">
        <v>199</v>
      </c>
      <c r="EN4" s="323">
        <v>144</v>
      </c>
      <c r="EO4" s="323">
        <v>147</v>
      </c>
      <c r="EP4" s="323">
        <v>181.58699999999999</v>
      </c>
      <c r="EQ4" s="323">
        <v>174.94200000000001</v>
      </c>
      <c r="ER4" s="323">
        <v>203.53</v>
      </c>
      <c r="ES4" s="323">
        <v>1002.921</v>
      </c>
      <c r="ET4" s="323">
        <v>179.21199999999999</v>
      </c>
      <c r="EU4" s="323">
        <v>259.84399999999999</v>
      </c>
      <c r="EV4" s="323">
        <v>224.28200000000001</v>
      </c>
      <c r="EW4" s="323">
        <v>267.34500000000003</v>
      </c>
      <c r="EX4" s="323">
        <v>269.625</v>
      </c>
      <c r="EY4" s="306">
        <f>SUM(EM4:EX4)</f>
        <v>3253.2880000000005</v>
      </c>
      <c r="EZ4" s="323">
        <v>273.45800000000003</v>
      </c>
      <c r="FA4" s="323">
        <v>276.39600000000002</v>
      </c>
      <c r="FB4" s="323">
        <v>330.65499999999997</v>
      </c>
      <c r="FC4" s="323">
        <v>346.12400000000002</v>
      </c>
      <c r="FD4" s="323">
        <v>293.60399999999998</v>
      </c>
      <c r="FE4" s="323">
        <v>291.61399999999998</v>
      </c>
      <c r="FF4" s="323">
        <v>314.10899999999998</v>
      </c>
      <c r="FG4" s="323">
        <v>303.76400000000001</v>
      </c>
      <c r="FH4" s="323">
        <v>294.07499999999999</v>
      </c>
      <c r="FI4" s="323">
        <v>364.22</v>
      </c>
      <c r="FJ4" s="323">
        <v>309.7</v>
      </c>
      <c r="FK4" s="323">
        <v>400.62099999999998</v>
      </c>
      <c r="FL4" s="306">
        <f>SUM(EZ4:FK4)</f>
        <v>3798.34</v>
      </c>
      <c r="FM4" s="323">
        <v>295.83300000000003</v>
      </c>
      <c r="FN4" s="323">
        <v>294.34399999999999</v>
      </c>
      <c r="FO4" s="323">
        <v>367.23399999999998</v>
      </c>
      <c r="FP4" s="323">
        <v>273.459</v>
      </c>
      <c r="FQ4" s="323">
        <v>243.029</v>
      </c>
      <c r="FR4" s="323">
        <v>309.2</v>
      </c>
      <c r="FS4" s="323">
        <v>294.84399999999999</v>
      </c>
      <c r="FT4" s="323">
        <v>314.74400000000003</v>
      </c>
      <c r="FU4" s="323">
        <v>358.548</v>
      </c>
      <c r="FV4" s="323">
        <v>324.19799999999998</v>
      </c>
      <c r="FW4" s="323">
        <v>311.03800000000001</v>
      </c>
      <c r="FX4" s="323">
        <v>423.24200000000002</v>
      </c>
      <c r="FY4" s="306">
        <f>SUM(FM4:FX4)</f>
        <v>3809.7130000000006</v>
      </c>
      <c r="FZ4" s="323">
        <v>320.33100000000002</v>
      </c>
      <c r="GA4" s="323">
        <v>355.334</v>
      </c>
      <c r="GB4" s="323">
        <v>349.483</v>
      </c>
      <c r="GC4" s="323">
        <v>355.93099999999998</v>
      </c>
      <c r="GD4" s="323">
        <v>381.87099999999998</v>
      </c>
      <c r="GE4" s="323">
        <v>345.476</v>
      </c>
      <c r="GF4" s="323">
        <v>332.875</v>
      </c>
      <c r="GG4" s="323">
        <v>316.11700000000002</v>
      </c>
      <c r="GH4" s="323">
        <v>334.06099999999998</v>
      </c>
      <c r="GI4" s="323">
        <v>337.03800000000001</v>
      </c>
      <c r="GJ4" s="323">
        <v>295.37900000000002</v>
      </c>
      <c r="GK4" s="323">
        <v>304.803</v>
      </c>
      <c r="GL4" s="306">
        <f>SUM(FZ4:GK4)</f>
        <v>4028.6990000000001</v>
      </c>
      <c r="GM4" s="323">
        <v>310.26100000000002</v>
      </c>
      <c r="GN4" s="323">
        <v>326.75299999999999</v>
      </c>
      <c r="GO4" s="323">
        <v>395.66199999999998</v>
      </c>
      <c r="GP4" s="323">
        <v>391.745</v>
      </c>
      <c r="GQ4" s="323">
        <v>384.09300000000002</v>
      </c>
      <c r="GR4" s="323">
        <v>356.95</v>
      </c>
      <c r="GS4" s="323">
        <v>336.36200000000002</v>
      </c>
      <c r="GT4" s="323">
        <v>295.20999999999998</v>
      </c>
      <c r="GU4" s="323">
        <v>386.36700000000002</v>
      </c>
      <c r="GV4" s="323">
        <v>356.15199999999999</v>
      </c>
      <c r="GW4" s="323">
        <v>353.94099999999997</v>
      </c>
      <c r="GX4" s="323">
        <v>397.34</v>
      </c>
      <c r="GY4" s="306">
        <f>SUM(GM4:GX4)</f>
        <v>4290.8360000000002</v>
      </c>
      <c r="GZ4" s="323">
        <v>329.83499999999998</v>
      </c>
      <c r="HA4" s="323">
        <v>373.92700000000002</v>
      </c>
      <c r="HB4" s="323">
        <v>412.31099999999998</v>
      </c>
      <c r="HC4" s="323">
        <v>354.29599999999999</v>
      </c>
      <c r="HD4" s="323">
        <v>337.858</v>
      </c>
      <c r="HE4" s="323">
        <v>348.65600000000001</v>
      </c>
      <c r="HF4" s="323">
        <v>396.10500000000002</v>
      </c>
      <c r="HG4" s="323">
        <v>321.45699999999999</v>
      </c>
      <c r="HH4" s="323">
        <v>401.74900000000002</v>
      </c>
      <c r="HI4" s="323">
        <v>371.12299999999999</v>
      </c>
      <c r="HJ4" s="323">
        <v>349.02800000000002</v>
      </c>
      <c r="HK4" s="323">
        <v>384.57400000000001</v>
      </c>
      <c r="HL4" s="306">
        <f>SUM(GZ4:HK4)</f>
        <v>4380.918999999999</v>
      </c>
      <c r="HM4" s="323">
        <v>279.84800000000001</v>
      </c>
      <c r="HN4" s="323">
        <v>388.625</v>
      </c>
      <c r="HO4" s="431">
        <v>371.74400000000003</v>
      </c>
      <c r="HP4" s="431">
        <v>361.75200000000001</v>
      </c>
      <c r="HQ4" s="436">
        <v>325.71100000000001</v>
      </c>
      <c r="HR4" s="439">
        <v>383.31299999999999</v>
      </c>
      <c r="HS4" s="445">
        <v>373.78199999999998</v>
      </c>
      <c r="HT4" s="451">
        <v>316.387</v>
      </c>
      <c r="HU4" s="454">
        <v>343.56599999999997</v>
      </c>
      <c r="HV4" s="451">
        <v>404.87299999999999</v>
      </c>
      <c r="HW4" s="451">
        <v>441.97399999999999</v>
      </c>
      <c r="HX4" s="451">
        <v>392.274</v>
      </c>
      <c r="HY4" s="477">
        <f>SUM(HM4:HX4)</f>
        <v>4383.8490000000002</v>
      </c>
      <c r="HZ4" s="467">
        <v>312592</v>
      </c>
      <c r="IA4" s="467">
        <v>338011</v>
      </c>
      <c r="IB4" s="467">
        <v>343213</v>
      </c>
      <c r="IC4" s="467">
        <v>441028</v>
      </c>
      <c r="ID4" s="467">
        <v>341485</v>
      </c>
      <c r="IE4" s="467">
        <v>335539</v>
      </c>
      <c r="IF4" s="467">
        <v>401216</v>
      </c>
      <c r="IG4" s="467">
        <v>315461</v>
      </c>
      <c r="IH4" s="467">
        <v>403140</v>
      </c>
      <c r="II4" s="467">
        <v>338221</v>
      </c>
      <c r="IJ4" s="467">
        <v>376405</v>
      </c>
      <c r="IK4" s="467">
        <v>356018</v>
      </c>
      <c r="IL4" s="468">
        <f>SUM(HZ4:IK4)</f>
        <v>4302329</v>
      </c>
      <c r="IM4" s="467">
        <v>360045</v>
      </c>
      <c r="IN4" s="467">
        <v>339702</v>
      </c>
      <c r="IO4" s="467">
        <v>394698</v>
      </c>
      <c r="IP4" s="467">
        <v>418048</v>
      </c>
      <c r="IQ4" s="467">
        <v>322732</v>
      </c>
      <c r="IR4" s="467">
        <v>431655</v>
      </c>
      <c r="IS4" s="467">
        <v>391206</v>
      </c>
      <c r="IT4" s="467">
        <v>330599</v>
      </c>
      <c r="IU4" s="467">
        <v>377920</v>
      </c>
      <c r="IV4" s="467">
        <v>466489</v>
      </c>
      <c r="IW4" s="467">
        <v>398366</v>
      </c>
      <c r="IX4" s="467">
        <v>356438</v>
      </c>
      <c r="IY4" s="468">
        <f>SUM(IM4:IX4)</f>
        <v>4587898</v>
      </c>
      <c r="IZ4" s="467">
        <v>358895</v>
      </c>
      <c r="JA4" s="467">
        <v>408337</v>
      </c>
      <c r="JB4" s="467">
        <v>427285</v>
      </c>
      <c r="JC4" s="467">
        <v>421638</v>
      </c>
      <c r="JD4" s="467">
        <v>333656</v>
      </c>
      <c r="JE4" s="467">
        <v>379958</v>
      </c>
      <c r="JF4" s="520">
        <v>430</v>
      </c>
      <c r="JG4" s="467">
        <v>368921</v>
      </c>
      <c r="JH4" s="484">
        <v>401545</v>
      </c>
      <c r="JI4" s="484">
        <v>395072</v>
      </c>
      <c r="JJ4" s="484">
        <v>422258</v>
      </c>
      <c r="JK4" s="484">
        <v>395172</v>
      </c>
      <c r="JL4" s="528">
        <v>4743</v>
      </c>
      <c r="JM4" s="467">
        <v>328549</v>
      </c>
      <c r="JN4" s="571">
        <v>383</v>
      </c>
    </row>
    <row r="5" spans="1:292" x14ac:dyDescent="0.15">
      <c r="A5" s="554"/>
      <c r="B5" s="35" t="s">
        <v>76</v>
      </c>
      <c r="C5" s="16"/>
      <c r="D5" s="17">
        <f>(D4/C4-1)*100</f>
        <v>8.7616099071207376</v>
      </c>
      <c r="E5" s="18">
        <f>(E4/D4-1)*100</f>
        <v>-4.4121833191004818</v>
      </c>
      <c r="F5" s="17">
        <f t="shared" ref="F5:N5" si="0">(F4/E4-1)*100</f>
        <v>-11.197141155449675</v>
      </c>
      <c r="G5" s="18">
        <f t="shared" si="0"/>
        <v>-7.1763916834339359</v>
      </c>
      <c r="H5" s="17">
        <f t="shared" si="0"/>
        <v>218.78612716763004</v>
      </c>
      <c r="I5" s="18">
        <f t="shared" si="0"/>
        <v>-67.191749773345421</v>
      </c>
      <c r="J5" s="17">
        <f t="shared" si="0"/>
        <v>-1.0708117443868792</v>
      </c>
      <c r="K5" s="18">
        <f t="shared" si="0"/>
        <v>7.6815642458100575</v>
      </c>
      <c r="L5" s="17">
        <f t="shared" si="0"/>
        <v>-19.844357976653693</v>
      </c>
      <c r="M5" s="18">
        <f t="shared" si="0"/>
        <v>4.6925566343042124</v>
      </c>
      <c r="N5" s="18">
        <f t="shared" si="0"/>
        <v>13.755795981452867</v>
      </c>
      <c r="O5" s="19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18">
        <f>(AA4/O4-1)*100</f>
        <v>18.617021276595747</v>
      </c>
      <c r="AB5" s="18">
        <f t="shared" ref="AB5:AL5" si="1">(AB4/P4-1)*100</f>
        <v>42.487046632124347</v>
      </c>
      <c r="AC5" s="18">
        <f t="shared" si="1"/>
        <v>3.125</v>
      </c>
      <c r="AD5" s="18">
        <f t="shared" si="1"/>
        <v>0.3937007874015741</v>
      </c>
      <c r="AE5" s="18">
        <f t="shared" si="1"/>
        <v>9.3406593406593288</v>
      </c>
      <c r="AF5" s="18">
        <f t="shared" si="1"/>
        <v>18.999999999999993</v>
      </c>
      <c r="AG5" s="18">
        <f t="shared" si="1"/>
        <v>2.1929824561403466</v>
      </c>
      <c r="AH5" s="18">
        <f t="shared" si="1"/>
        <v>39.534883720930239</v>
      </c>
      <c r="AI5" s="18">
        <f t="shared" si="1"/>
        <v>21.739130434782616</v>
      </c>
      <c r="AJ5" s="18">
        <f t="shared" si="1"/>
        <v>4.6808510638297829</v>
      </c>
      <c r="AK5" s="18">
        <f t="shared" si="1"/>
        <v>13.419913419913421</v>
      </c>
      <c r="AL5" s="86">
        <f t="shared" si="1"/>
        <v>4.3824701195219085</v>
      </c>
      <c r="AM5" s="18">
        <f>(AM4/N4-1)*100</f>
        <v>-7.2690217391304319</v>
      </c>
      <c r="AN5" s="116">
        <f t="shared" ref="AN5:AY5" si="2">(AN4/AA4-1)*100</f>
        <v>1.3452914798206317</v>
      </c>
      <c r="AO5" s="18">
        <f t="shared" si="2"/>
        <v>-13.818181818181818</v>
      </c>
      <c r="AP5" s="86">
        <f t="shared" si="2"/>
        <v>14.285714285714279</v>
      </c>
      <c r="AQ5" s="18">
        <f t="shared" si="2"/>
        <v>-7.0588235294117618</v>
      </c>
      <c r="AR5" s="18">
        <f t="shared" si="2"/>
        <v>14.572864321608048</v>
      </c>
      <c r="AS5" s="17">
        <f t="shared" si="2"/>
        <v>-3.7815126050420145</v>
      </c>
      <c r="AT5" s="18">
        <f t="shared" si="2"/>
        <v>-16.309012875536478</v>
      </c>
      <c r="AU5" s="17">
        <f t="shared" si="2"/>
        <v>-4.1666666666666625</v>
      </c>
      <c r="AV5" s="18">
        <f t="shared" si="2"/>
        <v>-8.5714285714285747</v>
      </c>
      <c r="AW5" s="17">
        <f t="shared" si="2"/>
        <v>-13.821138211382111</v>
      </c>
      <c r="AX5" s="18">
        <f t="shared" si="2"/>
        <v>-17.938931297709924</v>
      </c>
      <c r="AY5" s="17">
        <f t="shared" si="2"/>
        <v>-23.282442748091604</v>
      </c>
      <c r="AZ5" s="106">
        <f t="shared" ref="AZ5:BL5" si="3">(AZ4/AM4-1)*100</f>
        <v>0.5494505494505475</v>
      </c>
      <c r="BA5" s="123">
        <f t="shared" si="3"/>
        <v>-29.646017699115045</v>
      </c>
      <c r="BB5" s="18">
        <f t="shared" si="3"/>
        <v>-8.4388185654008403</v>
      </c>
      <c r="BC5" s="18">
        <f t="shared" si="3"/>
        <v>-20.45454545454546</v>
      </c>
      <c r="BD5" s="18">
        <f t="shared" si="3"/>
        <v>6.3291139240506222</v>
      </c>
      <c r="BE5" s="18">
        <f t="shared" si="3"/>
        <v>-17.105263157894733</v>
      </c>
      <c r="BF5" s="18">
        <f t="shared" si="3"/>
        <v>-0.8733624454148492</v>
      </c>
      <c r="BG5" s="18">
        <f t="shared" si="3"/>
        <v>23.076923076923084</v>
      </c>
      <c r="BH5" s="18">
        <f t="shared" si="3"/>
        <v>-3.9130434782608692</v>
      </c>
      <c r="BI5" s="18">
        <f t="shared" si="3"/>
        <v>-3.90625</v>
      </c>
      <c r="BJ5" s="18">
        <f t="shared" si="3"/>
        <v>15.566037735849058</v>
      </c>
      <c r="BK5" s="18">
        <f t="shared" si="3"/>
        <v>8.8372093023255882</v>
      </c>
      <c r="BL5" s="18">
        <f t="shared" si="3"/>
        <v>51.741293532338318</v>
      </c>
      <c r="BM5" s="18">
        <f t="shared" ref="BM5:BX5" si="4">(BM4/BA4-1)*100</f>
        <v>33.333333333333329</v>
      </c>
      <c r="BN5" s="18">
        <f t="shared" si="4"/>
        <v>12.442396313364057</v>
      </c>
      <c r="BO5" s="18">
        <f t="shared" si="4"/>
        <v>29.523809523809529</v>
      </c>
      <c r="BP5" s="18">
        <f t="shared" si="4"/>
        <v>2.7777777777777679</v>
      </c>
      <c r="BQ5" s="18">
        <f t="shared" si="4"/>
        <v>30.687830687830697</v>
      </c>
      <c r="BR5" s="18">
        <f t="shared" si="4"/>
        <v>6.6079295154185091</v>
      </c>
      <c r="BS5" s="18">
        <f t="shared" si="4"/>
        <v>30.833333333333336</v>
      </c>
      <c r="BT5" s="18">
        <f t="shared" si="4"/>
        <v>27.601809954751122</v>
      </c>
      <c r="BU5" s="18">
        <f t="shared" si="4"/>
        <v>7.3170731707317138</v>
      </c>
      <c r="BV5" s="18">
        <f t="shared" si="4"/>
        <v>11.83673469387756</v>
      </c>
      <c r="BW5" s="18">
        <f t="shared" si="4"/>
        <v>5.9829059829059839</v>
      </c>
      <c r="BX5" s="18">
        <f t="shared" si="4"/>
        <v>-3.6065573770491799</v>
      </c>
      <c r="BY5" s="106">
        <f>(BY4/AZ4-1)*100</f>
        <v>14.826958105646625</v>
      </c>
      <c r="BZ5" s="105">
        <f t="shared" ref="BZ5:DE5" si="5">(BZ4/BM4-1)*100</f>
        <v>41.981132075471692</v>
      </c>
      <c r="CA5" s="18">
        <f t="shared" si="5"/>
        <v>19.262295081967217</v>
      </c>
      <c r="CB5" s="18">
        <f t="shared" si="5"/>
        <v>22.426470588235304</v>
      </c>
      <c r="CC5" s="18">
        <f t="shared" si="5"/>
        <v>23.166023166023166</v>
      </c>
      <c r="CD5" s="18">
        <f t="shared" si="5"/>
        <v>25.910931174089068</v>
      </c>
      <c r="CE5" s="86">
        <f t="shared" si="5"/>
        <v>10.743801652892571</v>
      </c>
      <c r="CF5" s="86">
        <f t="shared" si="5"/>
        <v>7.0063694267515908</v>
      </c>
      <c r="CG5" s="86">
        <f t="shared" si="5"/>
        <v>10.638297872340431</v>
      </c>
      <c r="CH5" s="86">
        <f t="shared" si="5"/>
        <v>29.54545454545454</v>
      </c>
      <c r="CI5" s="86">
        <f t="shared" si="5"/>
        <v>-7.2992700729927034</v>
      </c>
      <c r="CJ5" s="18">
        <f t="shared" si="5"/>
        <v>33.870967741935473</v>
      </c>
      <c r="CK5" s="106">
        <f t="shared" si="5"/>
        <v>1.3605442176870763</v>
      </c>
      <c r="CL5" s="308">
        <f t="shared" si="5"/>
        <v>17.290609137055846</v>
      </c>
      <c r="CM5" s="291">
        <f t="shared" si="5"/>
        <v>-4.9833887043189362</v>
      </c>
      <c r="CN5" s="292">
        <f t="shared" si="5"/>
        <v>-0.34364261168384758</v>
      </c>
      <c r="CO5" s="292">
        <f t="shared" si="5"/>
        <v>7.5075075075075048</v>
      </c>
      <c r="CP5" s="324">
        <f t="shared" si="5"/>
        <v>-6.5830721003134807</v>
      </c>
      <c r="CQ5" s="331">
        <f t="shared" si="5"/>
        <v>0.96463022508037621</v>
      </c>
      <c r="CR5" s="331">
        <f t="shared" si="5"/>
        <v>22.388059701492537</v>
      </c>
      <c r="CS5" s="331">
        <f t="shared" si="5"/>
        <v>-5.9523809523809534</v>
      </c>
      <c r="CT5" s="331">
        <f t="shared" si="5"/>
        <v>23.397435897435905</v>
      </c>
      <c r="CU5" s="331">
        <f t="shared" si="5"/>
        <v>7.3099415204678442</v>
      </c>
      <c r="CV5" s="331">
        <f t="shared" si="5"/>
        <v>24.803149606299215</v>
      </c>
      <c r="CW5" s="324">
        <f t="shared" si="5"/>
        <v>8.1325301204819169</v>
      </c>
      <c r="CX5" s="314">
        <f t="shared" si="5"/>
        <v>25.503355704697995</v>
      </c>
      <c r="CY5" s="308">
        <f t="shared" si="5"/>
        <v>7.979442791452529</v>
      </c>
      <c r="CZ5" s="324">
        <f t="shared" si="5"/>
        <v>30.76923076923077</v>
      </c>
      <c r="DA5" s="324">
        <f t="shared" si="5"/>
        <v>17.241379310344819</v>
      </c>
      <c r="DB5" s="324">
        <f t="shared" si="5"/>
        <v>0</v>
      </c>
      <c r="DC5" s="324">
        <f t="shared" si="5"/>
        <v>17.114093959731534</v>
      </c>
      <c r="DD5" s="324">
        <f t="shared" si="5"/>
        <v>-0.95541401273885329</v>
      </c>
      <c r="DE5" s="324">
        <f t="shared" si="5"/>
        <v>1.2195121951219523</v>
      </c>
      <c r="DF5" s="324">
        <f>(DF4/CS4-1)*100</f>
        <v>2.8481012658227778</v>
      </c>
      <c r="DG5" s="324">
        <f>(DG4/CT4-1)*100</f>
        <v>-11.688311688311693</v>
      </c>
      <c r="DH5" s="324">
        <f>(DH4/CT4-1)*100</f>
        <v>-16.103896103896108</v>
      </c>
      <c r="DI5" s="324">
        <f>(DI4/CU4-1)*100</f>
        <v>-3.2697547683923744</v>
      </c>
      <c r="DJ5" s="324">
        <f>(DJ4/CV4-1)*100</f>
        <v>9.14826498422714</v>
      </c>
      <c r="DK5" s="324">
        <f>(DK4/CW4-1)*100</f>
        <v>4.4568245125348183</v>
      </c>
      <c r="DL5" s="308">
        <f t="shared" ref="DL5:EL5" si="6">(DL4/CY4-1)*100</f>
        <v>3.4068136272545013</v>
      </c>
      <c r="DM5" s="324">
        <f t="shared" si="6"/>
        <v>-22.994652406417117</v>
      </c>
      <c r="DN5" s="324">
        <f t="shared" si="6"/>
        <v>10.588235294117654</v>
      </c>
      <c r="DO5" s="324">
        <f t="shared" si="6"/>
        <v>12.290502793296088</v>
      </c>
      <c r="DP5" s="324">
        <f t="shared" si="6"/>
        <v>20.916905444126076</v>
      </c>
      <c r="DQ5" s="324">
        <f t="shared" si="6"/>
        <v>10.932475884244376</v>
      </c>
      <c r="DR5" s="324">
        <f t="shared" si="6"/>
        <v>21.084337349397586</v>
      </c>
      <c r="DS5" s="324">
        <f t="shared" si="6"/>
        <v>15.999999999999993</v>
      </c>
      <c r="DT5" s="324">
        <f t="shared" si="6"/>
        <v>-12.647058823529411</v>
      </c>
      <c r="DU5" s="324">
        <f t="shared" si="6"/>
        <v>21.98142414860682</v>
      </c>
      <c r="DV5" s="324">
        <f t="shared" si="6"/>
        <v>9.2957746478873347</v>
      </c>
      <c r="DW5" s="324">
        <f t="shared" si="6"/>
        <v>16.473988439306364</v>
      </c>
      <c r="DX5" s="292">
        <f t="shared" si="6"/>
        <v>4.5333333333333226</v>
      </c>
      <c r="DY5" s="399">
        <f t="shared" si="6"/>
        <v>8.6724806201550422</v>
      </c>
      <c r="DZ5" s="324">
        <f t="shared" si="6"/>
        <v>28.472222222222232</v>
      </c>
      <c r="EA5" s="324">
        <f t="shared" si="6"/>
        <v>-22.074468085106382</v>
      </c>
      <c r="EB5" s="324">
        <f t="shared" si="6"/>
        <v>-11.442786069651746</v>
      </c>
      <c r="EC5" s="324">
        <f t="shared" si="6"/>
        <v>-10.900473933649291</v>
      </c>
      <c r="ED5" s="324">
        <f t="shared" si="6"/>
        <v>22.608695652173914</v>
      </c>
      <c r="EE5" s="324">
        <f t="shared" si="6"/>
        <v>2.2388059701492491</v>
      </c>
      <c r="EF5" s="324">
        <f t="shared" si="6"/>
        <v>18.037135278514583</v>
      </c>
      <c r="EG5" s="324">
        <f t="shared" si="6"/>
        <v>30.976430976430969</v>
      </c>
      <c r="EH5" s="324">
        <f t="shared" si="6"/>
        <v>1.5228426395939021</v>
      </c>
      <c r="EI5" s="324">
        <f t="shared" si="6"/>
        <v>-13.144329896907214</v>
      </c>
      <c r="EJ5" s="324">
        <f t="shared" si="6"/>
        <v>-16.625310173697272</v>
      </c>
      <c r="EK5" s="324">
        <f t="shared" si="6"/>
        <v>-24.744897959183675</v>
      </c>
      <c r="EL5" s="399">
        <f t="shared" si="6"/>
        <v>-1.2260365581810095</v>
      </c>
      <c r="EM5" s="324">
        <f t="shared" ref="EM5:EX5" si="7">(EM4/DZ4-1)*100</f>
        <v>-46.216216216216225</v>
      </c>
      <c r="EN5" s="324">
        <f t="shared" si="7"/>
        <v>-50.853242320819113</v>
      </c>
      <c r="EO5" s="324">
        <f t="shared" si="7"/>
        <v>-58.707865168539321</v>
      </c>
      <c r="EP5" s="324">
        <f t="shared" si="7"/>
        <v>-51.705585106382991</v>
      </c>
      <c r="EQ5" s="324">
        <f t="shared" si="7"/>
        <v>-58.64255319148937</v>
      </c>
      <c r="ER5" s="324">
        <f t="shared" si="7"/>
        <v>-50.479318734793189</v>
      </c>
      <c r="ES5" s="324">
        <f t="shared" si="7"/>
        <v>125.37550561797755</v>
      </c>
      <c r="ET5" s="324">
        <f t="shared" si="7"/>
        <v>-53.930077120822631</v>
      </c>
      <c r="EU5" s="324">
        <f t="shared" si="7"/>
        <v>-35.039000000000001</v>
      </c>
      <c r="EV5" s="324">
        <f t="shared" si="7"/>
        <v>-33.447477744807117</v>
      </c>
      <c r="EW5" s="324">
        <f t="shared" si="7"/>
        <v>-20.433035714285708</v>
      </c>
      <c r="EX5" s="324">
        <f t="shared" si="7"/>
        <v>-8.6016949152542317</v>
      </c>
      <c r="EY5" s="399">
        <f t="shared" ref="EY5:FX5" si="8">(EY4/EL4-1)*100</f>
        <v>-26.578921236741127</v>
      </c>
      <c r="EZ5" s="324">
        <f t="shared" si="8"/>
        <v>37.416080402010053</v>
      </c>
      <c r="FA5" s="324">
        <f t="shared" si="8"/>
        <v>91.941666666666677</v>
      </c>
      <c r="FB5" s="324">
        <f t="shared" si="8"/>
        <v>124.93537414965985</v>
      </c>
      <c r="FC5" s="324">
        <f t="shared" si="8"/>
        <v>90.610561328729517</v>
      </c>
      <c r="FD5" s="324">
        <f t="shared" si="8"/>
        <v>67.829337723359728</v>
      </c>
      <c r="FE5" s="324">
        <f t="shared" si="8"/>
        <v>43.278140814621914</v>
      </c>
      <c r="FF5" s="324">
        <f t="shared" si="8"/>
        <v>-68.680584014094819</v>
      </c>
      <c r="FG5" s="324">
        <f t="shared" si="8"/>
        <v>69.499810280561576</v>
      </c>
      <c r="FH5" s="324">
        <f t="shared" si="8"/>
        <v>13.173673434830135</v>
      </c>
      <c r="FI5" s="324">
        <f t="shared" si="8"/>
        <v>62.393772126162595</v>
      </c>
      <c r="FJ5" s="324">
        <f t="shared" si="8"/>
        <v>15.842824814378398</v>
      </c>
      <c r="FK5" s="324">
        <f t="shared" si="8"/>
        <v>48.584515530829854</v>
      </c>
      <c r="FL5" s="399">
        <f t="shared" si="8"/>
        <v>16.753880996702406</v>
      </c>
      <c r="FM5" s="324">
        <f t="shared" si="8"/>
        <v>8.1822437083574062</v>
      </c>
      <c r="FN5" s="324">
        <f t="shared" si="8"/>
        <v>6.4935816726725326</v>
      </c>
      <c r="FO5" s="324">
        <f t="shared" si="8"/>
        <v>11.062587893726095</v>
      </c>
      <c r="FP5" s="324">
        <f t="shared" si="8"/>
        <v>-20.993921253654769</v>
      </c>
      <c r="FQ5" s="324">
        <f t="shared" si="8"/>
        <v>-17.225582757728098</v>
      </c>
      <c r="FR5" s="324">
        <f t="shared" si="8"/>
        <v>6.0305746637678626</v>
      </c>
      <c r="FS5" s="324">
        <f t="shared" si="8"/>
        <v>-6.133221270323352</v>
      </c>
      <c r="FT5" s="324">
        <f t="shared" si="8"/>
        <v>3.6146482137448865</v>
      </c>
      <c r="FU5" s="324">
        <f t="shared" si="8"/>
        <v>21.923998979852087</v>
      </c>
      <c r="FV5" s="324">
        <f t="shared" si="8"/>
        <v>-10.988413596178148</v>
      </c>
      <c r="FW5" s="324">
        <f t="shared" si="8"/>
        <v>0.43203099773976295</v>
      </c>
      <c r="FX5" s="324">
        <f t="shared" si="8"/>
        <v>5.6464838338479595</v>
      </c>
      <c r="FY5" s="399">
        <f t="shared" ref="FY5:HC5" si="9">(FY4/FL4-1)*100</f>
        <v>0.29942027306666397</v>
      </c>
      <c r="FZ5" s="324">
        <f t="shared" si="9"/>
        <v>8.2810234152376427</v>
      </c>
      <c r="GA5" s="324">
        <f t="shared" si="9"/>
        <v>20.720653385154787</v>
      </c>
      <c r="GB5" s="324">
        <f t="shared" si="9"/>
        <v>-4.8337027617268546</v>
      </c>
      <c r="GC5" s="324">
        <f t="shared" si="9"/>
        <v>30.158817226714053</v>
      </c>
      <c r="GD5" s="324">
        <f t="shared" si="9"/>
        <v>57.129807553831014</v>
      </c>
      <c r="GE5" s="324">
        <f t="shared" si="9"/>
        <v>11.73221216041398</v>
      </c>
      <c r="GF5" s="324">
        <f t="shared" si="9"/>
        <v>12.898685406520061</v>
      </c>
      <c r="GG5" s="324">
        <f t="shared" si="9"/>
        <v>0.43622753730014896</v>
      </c>
      <c r="GH5" s="324">
        <f t="shared" si="9"/>
        <v>-6.829490054330245</v>
      </c>
      <c r="GI5" s="324">
        <f t="shared" si="9"/>
        <v>3.9605426313549241</v>
      </c>
      <c r="GJ5" s="324">
        <f t="shared" si="9"/>
        <v>-5.0344330917765685</v>
      </c>
      <c r="GK5" s="324">
        <f t="shared" si="9"/>
        <v>-27.983753975267113</v>
      </c>
      <c r="GL5" s="399">
        <f t="shared" si="9"/>
        <v>5.7480970351309724</v>
      </c>
      <c r="GM5" s="324">
        <f t="shared" si="9"/>
        <v>-3.1436233146339254</v>
      </c>
      <c r="GN5" s="324">
        <f t="shared" si="9"/>
        <v>-8.0434183050313237</v>
      </c>
      <c r="GO5" s="324">
        <f t="shared" si="9"/>
        <v>13.21351825410677</v>
      </c>
      <c r="GP5" s="324">
        <f t="shared" si="9"/>
        <v>10.062062590783061</v>
      </c>
      <c r="GQ5" s="324">
        <f t="shared" si="9"/>
        <v>0.58187188867446782</v>
      </c>
      <c r="GR5" s="324">
        <f t="shared" si="9"/>
        <v>3.3212147877131892</v>
      </c>
      <c r="GS5" s="324">
        <f t="shared" si="9"/>
        <v>1.0475403680060058</v>
      </c>
      <c r="GT5" s="324">
        <f t="shared" si="9"/>
        <v>-6.6136905006690672</v>
      </c>
      <c r="GU5" s="324">
        <f t="shared" si="9"/>
        <v>15.657619416813118</v>
      </c>
      <c r="GV5" s="324">
        <f t="shared" si="9"/>
        <v>5.6711706098422132</v>
      </c>
      <c r="GW5" s="324">
        <f t="shared" si="9"/>
        <v>19.826053984880421</v>
      </c>
      <c r="GX5" s="324">
        <f t="shared" si="9"/>
        <v>30.359609321430558</v>
      </c>
      <c r="GY5" s="399">
        <f t="shared" si="9"/>
        <v>6.5067407617198647</v>
      </c>
      <c r="GZ5" s="324">
        <f t="shared" si="9"/>
        <v>6.3088818768713972</v>
      </c>
      <c r="HA5" s="324">
        <f t="shared" si="9"/>
        <v>14.437204861164265</v>
      </c>
      <c r="HB5" s="324">
        <f t="shared" si="9"/>
        <v>4.2078845074836613</v>
      </c>
      <c r="HC5" s="324">
        <f t="shared" si="9"/>
        <v>-9.5595349015303306</v>
      </c>
      <c r="HD5" s="324">
        <f t="shared" ref="HD5:HL5" si="10">(HD4/GQ4-1)*100</f>
        <v>-12.037449263589806</v>
      </c>
      <c r="HE5" s="324">
        <f t="shared" si="10"/>
        <v>-2.323574730354383</v>
      </c>
      <c r="HF5" s="324">
        <f t="shared" si="10"/>
        <v>17.761518839821377</v>
      </c>
      <c r="HG5" s="324">
        <f t="shared" si="10"/>
        <v>8.8909589783543908</v>
      </c>
      <c r="HH5" s="324">
        <f t="shared" si="10"/>
        <v>3.9811888696498432</v>
      </c>
      <c r="HI5" s="324">
        <f t="shared" si="10"/>
        <v>4.2035423077787071</v>
      </c>
      <c r="HJ5" s="324">
        <f t="shared" si="10"/>
        <v>-1.3880844547537463</v>
      </c>
      <c r="HK5" s="324">
        <f t="shared" si="10"/>
        <v>-3.212865555947042</v>
      </c>
      <c r="HL5" s="399">
        <f t="shared" si="10"/>
        <v>2.09942771059064</v>
      </c>
      <c r="HM5" s="324">
        <f t="shared" ref="HM5" si="11">(HM4/GZ4-1)*100</f>
        <v>-15.155153334242865</v>
      </c>
      <c r="HN5" s="324">
        <f t="shared" ref="HN5" si="12">(HN4/HA4-1)*100</f>
        <v>3.9307137489402955</v>
      </c>
      <c r="HO5" s="324">
        <f t="shared" ref="HO5" si="13">(HO4/HB4-1)*100</f>
        <v>-9.8389322622971402</v>
      </c>
      <c r="HP5" s="324">
        <f t="shared" ref="HP5" si="14">(HP4/HC4-1)*100</f>
        <v>2.1044550319506916</v>
      </c>
      <c r="HQ5" s="292">
        <f t="shared" ref="HQ5" si="15">(HQ4/HD4-1)*100</f>
        <v>-3.5952974326492138</v>
      </c>
      <c r="HR5" s="440">
        <f t="shared" ref="HR5" si="16">(HR4/HE4-1)*100</f>
        <v>9.9401702537744931</v>
      </c>
      <c r="HS5" s="446">
        <f t="shared" ref="HS5" si="17">(HS4/HF4-1)*100</f>
        <v>-5.6356269171053182</v>
      </c>
      <c r="HT5" s="446">
        <f t="shared" ref="HT5" si="18">(HT4/HG4-1)*100</f>
        <v>-1.5771938393004281</v>
      </c>
      <c r="HU5" s="446">
        <f t="shared" ref="HU5" si="19">(HU4/HH4-1)*100</f>
        <v>-14.482425594089854</v>
      </c>
      <c r="HV5" s="446">
        <f t="shared" ref="HV5" si="20">(HV4/HI4-1)*100</f>
        <v>9.0940200418729198</v>
      </c>
      <c r="HW5" s="446">
        <f t="shared" ref="HW5" si="21">(HW4/HJ4-1)*100</f>
        <v>26.629955189841503</v>
      </c>
      <c r="HX5" s="446">
        <f t="shared" ref="HX5" si="22">(HX4/HK4-1)*100</f>
        <v>2.0022154383811719</v>
      </c>
      <c r="HY5" s="478">
        <f t="shared" ref="HY5" si="23">(HY4/HL4-1)*100</f>
        <v>6.6880944386360497E-2</v>
      </c>
      <c r="HZ5" s="446">
        <f>(313/280-1)*100</f>
        <v>11.785714285714288</v>
      </c>
      <c r="IA5" s="446">
        <f>(338/389-1)*100</f>
        <v>-13.110539845758352</v>
      </c>
      <c r="IB5" s="446">
        <f>(343/372-1)*100</f>
        <v>-7.7956989247311874</v>
      </c>
      <c r="IC5" s="446">
        <f>(441/HP4-1)*100</f>
        <v>21.906720626285402</v>
      </c>
      <c r="ID5" s="446">
        <f>(341/HQ4-1)*100</f>
        <v>4.694038580213733</v>
      </c>
      <c r="IE5" s="446">
        <f>(336/HR4-1)*100</f>
        <v>-12.34317646414288</v>
      </c>
      <c r="IF5" s="446">
        <f>(401/HS4-1)*100</f>
        <v>7.2817845696154571</v>
      </c>
      <c r="IG5" s="446">
        <f>(315/HT4-1)*100</f>
        <v>-0.43838716508579623</v>
      </c>
      <c r="IH5" s="446">
        <f>(403/HU4-1)*100</f>
        <v>17.299150672650974</v>
      </c>
      <c r="II5" s="446">
        <f>(338/HV4-1)*100</f>
        <v>-16.517031266594707</v>
      </c>
      <c r="IJ5" s="446">
        <f>(376/HW4-1)*100</f>
        <v>-14.927122409915516</v>
      </c>
      <c r="IK5" s="446">
        <f>(356/HX4-1)*100</f>
        <v>-9.2471078888735967</v>
      </c>
      <c r="IL5" s="478">
        <f>(4302/HY4-1)*100</f>
        <v>-1.8670579210187221</v>
      </c>
      <c r="IM5" s="446">
        <f>(IM4/HZ4-1)*100</f>
        <v>15.180490863489782</v>
      </c>
      <c r="IN5" s="506">
        <f t="shared" ref="IN5:IQ5" si="24">(IN4/IA4-1)*100</f>
        <v>0.50027957670015777</v>
      </c>
      <c r="IO5" s="506">
        <f t="shared" si="24"/>
        <v>15.000888660977285</v>
      </c>
      <c r="IP5" s="506">
        <f t="shared" si="24"/>
        <v>-5.2105535249462598</v>
      </c>
      <c r="IQ5" s="506">
        <f t="shared" si="24"/>
        <v>-5.4916028522482669</v>
      </c>
      <c r="IR5" s="506">
        <f>(IR4/IE4-1)*100</f>
        <v>28.645254351953131</v>
      </c>
      <c r="IS5" s="506">
        <f t="shared" ref="IS5:IV5" si="25">(IS4/IF4-1)*100</f>
        <v>-2.4949154570106824</v>
      </c>
      <c r="IT5" s="506">
        <f t="shared" si="25"/>
        <v>4.7986914388783442</v>
      </c>
      <c r="IU5" s="506">
        <f t="shared" si="25"/>
        <v>-6.2558912536587741</v>
      </c>
      <c r="IV5" s="506">
        <f t="shared" si="25"/>
        <v>37.924315758039853</v>
      </c>
      <c r="IW5" s="506">
        <f>(IW4/IJ4-1)*100</f>
        <v>5.834407088109872</v>
      </c>
      <c r="IX5" s="506">
        <f t="shared" ref="IX5" si="26">(IX4/IK4-1)*100</f>
        <v>0.11797156323556379</v>
      </c>
      <c r="IY5" s="478">
        <f>(IY4/IL4-1)*100</f>
        <v>6.6375444555727858</v>
      </c>
      <c r="IZ5" s="506">
        <f>(IZ4/IM4-1)*100</f>
        <v>-0.31940451887958465</v>
      </c>
      <c r="JA5" s="506">
        <f t="shared" ref="JA5:JE5" si="27">(JA4/IN4-1)*100</f>
        <v>20.204473332509075</v>
      </c>
      <c r="JB5" s="506">
        <f t="shared" si="27"/>
        <v>8.2561857420103468</v>
      </c>
      <c r="JC5" s="506">
        <f t="shared" si="27"/>
        <v>0.85875306184934885</v>
      </c>
      <c r="JD5" s="506">
        <f t="shared" si="27"/>
        <v>3.3848518275225281</v>
      </c>
      <c r="JE5" s="506">
        <f t="shared" si="27"/>
        <v>-11.976462684319655</v>
      </c>
      <c r="JF5" s="506">
        <f>(JF4/391-1)*100</f>
        <v>9.9744245524296726</v>
      </c>
      <c r="JG5" s="506">
        <f>(JG4/IT4-1)*100</f>
        <v>11.591686605222652</v>
      </c>
      <c r="JH5" s="506">
        <f t="shared" ref="JH5:JK5" si="28">(JH4/IU4-1)*100</f>
        <v>6.2513230313293811</v>
      </c>
      <c r="JI5" s="506">
        <f t="shared" si="28"/>
        <v>-15.309471391608376</v>
      </c>
      <c r="JJ5" s="506">
        <f t="shared" si="28"/>
        <v>5.9974997866283797</v>
      </c>
      <c r="JK5" s="506">
        <f t="shared" si="28"/>
        <v>10.866967046162301</v>
      </c>
      <c r="JL5" s="531">
        <f>(JL4/4588-1)*100</f>
        <v>3.3783783783783772</v>
      </c>
      <c r="JM5" s="506">
        <f t="shared" ref="JM5:JN27" si="29">(JM4/IZ4-1)*100</f>
        <v>-8.4553978183033998</v>
      </c>
      <c r="JN5" s="572">
        <f>(JN4/408-1)*100</f>
        <v>-6.1274509803921573</v>
      </c>
    </row>
    <row r="6" spans="1:292" x14ac:dyDescent="0.15">
      <c r="A6" s="554"/>
      <c r="B6" s="15" t="s">
        <v>35</v>
      </c>
      <c r="C6" s="21">
        <v>500</v>
      </c>
      <c r="D6" s="22">
        <v>551</v>
      </c>
      <c r="E6" s="23">
        <v>556</v>
      </c>
      <c r="F6" s="22">
        <v>491</v>
      </c>
      <c r="G6" s="23">
        <v>445</v>
      </c>
      <c r="H6" s="22">
        <v>241</v>
      </c>
      <c r="I6" s="23">
        <v>450</v>
      </c>
      <c r="J6" s="22">
        <v>456</v>
      </c>
      <c r="K6" s="23">
        <v>485</v>
      </c>
      <c r="L6" s="132">
        <v>402</v>
      </c>
      <c r="M6" s="23">
        <v>410</v>
      </c>
      <c r="N6" s="25">
        <f>SUM(AA6:AL6)</f>
        <v>472</v>
      </c>
      <c r="O6" s="23">
        <v>29</v>
      </c>
      <c r="P6" s="22">
        <v>30</v>
      </c>
      <c r="Q6" s="22">
        <v>35</v>
      </c>
      <c r="R6" s="22">
        <v>39</v>
      </c>
      <c r="S6" s="22">
        <v>29</v>
      </c>
      <c r="T6" s="22">
        <v>33</v>
      </c>
      <c r="U6" s="22">
        <v>37</v>
      </c>
      <c r="V6" s="22">
        <v>28</v>
      </c>
      <c r="W6" s="22">
        <v>37</v>
      </c>
      <c r="X6" s="22">
        <v>36</v>
      </c>
      <c r="Y6" s="22">
        <v>38</v>
      </c>
      <c r="Z6" s="22">
        <v>39</v>
      </c>
      <c r="AA6" s="23">
        <v>36</v>
      </c>
      <c r="AB6" s="22">
        <v>41</v>
      </c>
      <c r="AC6" s="23">
        <v>37</v>
      </c>
      <c r="AD6" s="22">
        <v>41</v>
      </c>
      <c r="AE6" s="23">
        <v>30</v>
      </c>
      <c r="AF6" s="22">
        <v>37</v>
      </c>
      <c r="AG6" s="23">
        <v>37</v>
      </c>
      <c r="AH6" s="22">
        <v>40</v>
      </c>
      <c r="AI6" s="23">
        <v>47</v>
      </c>
      <c r="AJ6" s="22">
        <v>41</v>
      </c>
      <c r="AK6" s="23">
        <v>43</v>
      </c>
      <c r="AL6" s="22">
        <v>42</v>
      </c>
      <c r="AM6" s="23">
        <f>SUM(AN6:AY6)</f>
        <v>442</v>
      </c>
      <c r="AN6" s="117">
        <v>39</v>
      </c>
      <c r="AO6" s="22">
        <v>41</v>
      </c>
      <c r="AP6" s="87">
        <v>45</v>
      </c>
      <c r="AQ6" s="29">
        <v>40</v>
      </c>
      <c r="AR6" s="29">
        <v>38</v>
      </c>
      <c r="AS6" s="28">
        <v>36</v>
      </c>
      <c r="AT6" s="29">
        <v>32</v>
      </c>
      <c r="AU6" s="28">
        <v>34</v>
      </c>
      <c r="AV6" s="29">
        <v>39</v>
      </c>
      <c r="AW6" s="28">
        <v>34</v>
      </c>
      <c r="AX6" s="29">
        <v>32</v>
      </c>
      <c r="AY6" s="28">
        <v>32</v>
      </c>
      <c r="AZ6" s="104">
        <f>SUM(BA6:BL6)</f>
        <v>418</v>
      </c>
      <c r="BA6" s="21">
        <v>26</v>
      </c>
      <c r="BB6" s="23">
        <v>34</v>
      </c>
      <c r="BC6" s="23">
        <v>32</v>
      </c>
      <c r="BD6" s="23">
        <v>38</v>
      </c>
      <c r="BE6" s="23">
        <v>29</v>
      </c>
      <c r="BF6" s="23">
        <v>35</v>
      </c>
      <c r="BG6" s="23">
        <v>35</v>
      </c>
      <c r="BH6" s="23">
        <v>34</v>
      </c>
      <c r="BI6" s="23">
        <v>37</v>
      </c>
      <c r="BJ6" s="23">
        <v>36</v>
      </c>
      <c r="BK6" s="23">
        <v>36</v>
      </c>
      <c r="BL6" s="23">
        <v>46</v>
      </c>
      <c r="BM6" s="23">
        <v>32</v>
      </c>
      <c r="BN6" s="23">
        <v>38</v>
      </c>
      <c r="BO6" s="23">
        <v>40</v>
      </c>
      <c r="BP6" s="23">
        <v>41</v>
      </c>
      <c r="BQ6" s="23">
        <v>41</v>
      </c>
      <c r="BR6" s="23">
        <v>38</v>
      </c>
      <c r="BS6" s="23">
        <v>47</v>
      </c>
      <c r="BT6" s="23">
        <v>42</v>
      </c>
      <c r="BU6" s="23">
        <v>40</v>
      </c>
      <c r="BV6" s="23">
        <v>43</v>
      </c>
      <c r="BW6" s="23">
        <v>39</v>
      </c>
      <c r="BX6" s="23">
        <v>44</v>
      </c>
      <c r="BY6" s="109">
        <f>SUM(BM6:BX6)</f>
        <v>485</v>
      </c>
      <c r="BZ6" s="21">
        <v>44</v>
      </c>
      <c r="CA6" s="23">
        <v>44</v>
      </c>
      <c r="CB6" s="23">
        <v>50</v>
      </c>
      <c r="CC6" s="23">
        <v>49</v>
      </c>
      <c r="CD6" s="19">
        <v>48</v>
      </c>
      <c r="CE6" s="154">
        <v>42</v>
      </c>
      <c r="CF6" s="154">
        <v>50</v>
      </c>
      <c r="CG6" s="154">
        <v>49</v>
      </c>
      <c r="CH6" s="154">
        <v>56</v>
      </c>
      <c r="CI6" s="154">
        <v>41</v>
      </c>
      <c r="CJ6" s="19">
        <v>54</v>
      </c>
      <c r="CK6" s="15">
        <v>47</v>
      </c>
      <c r="CL6" s="309">
        <f>SUM(BZ6:CK6)</f>
        <v>574</v>
      </c>
      <c r="CM6" s="293">
        <v>45</v>
      </c>
      <c r="CN6" s="294">
        <v>45</v>
      </c>
      <c r="CO6" s="294">
        <v>57</v>
      </c>
      <c r="CP6" s="325">
        <v>51</v>
      </c>
      <c r="CQ6" s="332">
        <v>49</v>
      </c>
      <c r="CR6" s="332">
        <v>52</v>
      </c>
      <c r="CS6" s="332">
        <v>53</v>
      </c>
      <c r="CT6" s="332">
        <v>64</v>
      </c>
      <c r="CU6" s="332">
        <v>60</v>
      </c>
      <c r="CV6" s="332">
        <v>60</v>
      </c>
      <c r="CW6" s="325">
        <v>55</v>
      </c>
      <c r="CX6" s="315">
        <v>61</v>
      </c>
      <c r="CY6" s="309">
        <f>SUM(CM6:CX6)</f>
        <v>652</v>
      </c>
      <c r="CZ6" s="325">
        <v>50</v>
      </c>
      <c r="DA6" s="325">
        <v>56</v>
      </c>
      <c r="DB6" s="325">
        <v>56</v>
      </c>
      <c r="DC6" s="325">
        <v>56</v>
      </c>
      <c r="DD6" s="325">
        <v>52</v>
      </c>
      <c r="DE6" s="325">
        <v>57</v>
      </c>
      <c r="DF6" s="325">
        <v>54</v>
      </c>
      <c r="DG6" s="325">
        <v>57</v>
      </c>
      <c r="DH6" s="325">
        <v>59</v>
      </c>
      <c r="DI6" s="325">
        <v>61</v>
      </c>
      <c r="DJ6" s="325">
        <v>61</v>
      </c>
      <c r="DK6" s="325">
        <v>64</v>
      </c>
      <c r="DL6" s="309">
        <f>SUM(CZ6:DK6)</f>
        <v>683</v>
      </c>
      <c r="DM6" s="325">
        <v>51</v>
      </c>
      <c r="DN6" s="325">
        <v>62</v>
      </c>
      <c r="DO6" s="325">
        <v>71</v>
      </c>
      <c r="DP6" s="325">
        <v>75</v>
      </c>
      <c r="DQ6" s="325">
        <v>61</v>
      </c>
      <c r="DR6" s="325">
        <v>71</v>
      </c>
      <c r="DS6" s="325">
        <v>68</v>
      </c>
      <c r="DT6" s="325">
        <v>56</v>
      </c>
      <c r="DU6" s="325">
        <v>70</v>
      </c>
      <c r="DV6" s="325">
        <v>71</v>
      </c>
      <c r="DW6" s="325">
        <v>73</v>
      </c>
      <c r="DX6" s="294">
        <v>73</v>
      </c>
      <c r="DY6" s="400">
        <f>SUM(DM6:DX6)</f>
        <v>802</v>
      </c>
      <c r="DZ6" s="325">
        <v>69</v>
      </c>
      <c r="EA6" s="325">
        <v>68</v>
      </c>
      <c r="EB6" s="325">
        <v>69</v>
      </c>
      <c r="EC6" s="325">
        <v>73</v>
      </c>
      <c r="ED6" s="325">
        <v>82</v>
      </c>
      <c r="EE6" s="325">
        <v>83</v>
      </c>
      <c r="EF6" s="325">
        <v>86</v>
      </c>
      <c r="EG6" s="325">
        <v>83</v>
      </c>
      <c r="EH6" s="325">
        <v>84</v>
      </c>
      <c r="EI6" s="325">
        <v>74</v>
      </c>
      <c r="EJ6" s="325">
        <v>69</v>
      </c>
      <c r="EK6" s="325">
        <v>61</v>
      </c>
      <c r="EL6" s="400">
        <f>SUM(DZ6:EK6)</f>
        <v>901</v>
      </c>
      <c r="EM6" s="325">
        <v>42</v>
      </c>
      <c r="EN6" s="325">
        <v>28</v>
      </c>
      <c r="EO6" s="325">
        <v>29</v>
      </c>
      <c r="EP6" s="325">
        <v>36.686999999999998</v>
      </c>
      <c r="EQ6" s="325">
        <v>34.112000000000002</v>
      </c>
      <c r="ER6" s="325">
        <v>39.744</v>
      </c>
      <c r="ES6" s="325">
        <v>39.192</v>
      </c>
      <c r="ET6" s="325">
        <v>34.158999999999999</v>
      </c>
      <c r="EU6" s="325">
        <v>50.856999999999999</v>
      </c>
      <c r="EV6" s="325">
        <v>45.000999999999998</v>
      </c>
      <c r="EW6" s="325">
        <v>51.040999999999997</v>
      </c>
      <c r="EX6" s="325">
        <v>46.734999999999999</v>
      </c>
      <c r="EY6" s="400">
        <f>SUM(EM6:EX6)</f>
        <v>476.52799999999996</v>
      </c>
      <c r="EZ6" s="325">
        <v>51.557000000000002</v>
      </c>
      <c r="FA6" s="325">
        <v>51.709000000000003</v>
      </c>
      <c r="FB6" s="325">
        <v>64.554000000000002</v>
      </c>
      <c r="FC6" s="325">
        <v>66.292000000000002</v>
      </c>
      <c r="FD6" s="325">
        <v>63.002000000000002</v>
      </c>
      <c r="FE6" s="325">
        <v>58.41</v>
      </c>
      <c r="FF6" s="325">
        <v>62.420999999999999</v>
      </c>
      <c r="FG6" s="325">
        <v>59.185000000000002</v>
      </c>
      <c r="FH6" s="325">
        <v>57.832999999999998</v>
      </c>
      <c r="FI6" s="325">
        <v>72.125</v>
      </c>
      <c r="FJ6" s="325">
        <v>61.747</v>
      </c>
      <c r="FK6" s="325">
        <v>80.716999999999999</v>
      </c>
      <c r="FL6" s="400">
        <f>SUM(EZ6:FK6)</f>
        <v>749.55199999999991</v>
      </c>
      <c r="FM6" s="325">
        <v>59.235999999999997</v>
      </c>
      <c r="FN6" s="325">
        <v>59.823999999999998</v>
      </c>
      <c r="FO6" s="325">
        <v>74.036000000000001</v>
      </c>
      <c r="FP6" s="325">
        <v>56.860999999999997</v>
      </c>
      <c r="FQ6" s="325">
        <v>48.203600000000002</v>
      </c>
      <c r="FR6" s="325">
        <v>59.939</v>
      </c>
      <c r="FS6" s="325">
        <v>60.548000000000002</v>
      </c>
      <c r="FT6" s="325">
        <v>65.637</v>
      </c>
      <c r="FU6" s="325">
        <v>73.224000000000004</v>
      </c>
      <c r="FV6" s="325">
        <v>69.334000000000003</v>
      </c>
      <c r="FW6" s="325">
        <v>66.563999999999993</v>
      </c>
      <c r="FX6" s="325">
        <v>89.019000000000005</v>
      </c>
      <c r="FY6" s="400">
        <f>SUM(FM6:FX6)</f>
        <v>782.42559999999992</v>
      </c>
      <c r="FZ6" s="325">
        <v>68.760999999999996</v>
      </c>
      <c r="GA6" s="325">
        <v>74.897000000000006</v>
      </c>
      <c r="GB6" s="325">
        <v>76.27</v>
      </c>
      <c r="GC6" s="325">
        <v>76.710999999999999</v>
      </c>
      <c r="GD6" s="325">
        <v>80.616</v>
      </c>
      <c r="GE6" s="325">
        <v>72.367999999999995</v>
      </c>
      <c r="GF6" s="325">
        <v>71.161000000000001</v>
      </c>
      <c r="GG6" s="325">
        <v>67.656000000000006</v>
      </c>
      <c r="GH6" s="325">
        <v>71.442999999999998</v>
      </c>
      <c r="GI6" s="325">
        <v>71.545000000000002</v>
      </c>
      <c r="GJ6" s="325">
        <v>65.762</v>
      </c>
      <c r="GK6" s="325">
        <v>66.543999999999997</v>
      </c>
      <c r="GL6" s="400">
        <f>SUM(FZ6:GK6)</f>
        <v>863.73400000000004</v>
      </c>
      <c r="GM6" s="325">
        <v>67.668999999999997</v>
      </c>
      <c r="GN6" s="325">
        <v>70.834000000000003</v>
      </c>
      <c r="GO6" s="325">
        <v>87.117999999999995</v>
      </c>
      <c r="GP6" s="325">
        <v>86.015000000000001</v>
      </c>
      <c r="GQ6" s="325">
        <v>84.055999999999997</v>
      </c>
      <c r="GR6" s="325">
        <v>77.513999999999996</v>
      </c>
      <c r="GS6" s="325">
        <v>74.757000000000005</v>
      </c>
      <c r="GT6" s="325">
        <v>66.935000000000002</v>
      </c>
      <c r="GU6" s="325">
        <v>86.983999999999995</v>
      </c>
      <c r="GV6" s="325">
        <v>79.903000000000006</v>
      </c>
      <c r="GW6" s="325">
        <v>80.421000000000006</v>
      </c>
      <c r="GX6" s="325">
        <v>89.882999999999996</v>
      </c>
      <c r="GY6" s="400">
        <f>SUM(GM6:GX6)</f>
        <v>952.08900000000006</v>
      </c>
      <c r="GZ6" s="325">
        <v>74.531999999999996</v>
      </c>
      <c r="HA6" s="325">
        <v>82.238</v>
      </c>
      <c r="HB6" s="325">
        <v>92.582999999999998</v>
      </c>
      <c r="HC6" s="325">
        <v>86.602000000000004</v>
      </c>
      <c r="HD6" s="325">
        <v>78.460999999999999</v>
      </c>
      <c r="HE6" s="325">
        <v>79.736000000000004</v>
      </c>
      <c r="HF6" s="325">
        <v>93.022000000000006</v>
      </c>
      <c r="HG6" s="325">
        <v>75.748000000000005</v>
      </c>
      <c r="HH6" s="325">
        <v>92.179000000000002</v>
      </c>
      <c r="HI6" s="325">
        <v>89.192999999999998</v>
      </c>
      <c r="HJ6" s="325">
        <v>81.38</v>
      </c>
      <c r="HK6" s="325">
        <v>88.664000000000001</v>
      </c>
      <c r="HL6" s="400">
        <f>SUM(GZ6:HK6)</f>
        <v>1014.338</v>
      </c>
      <c r="HM6" s="325">
        <v>65.680999999999997</v>
      </c>
      <c r="HN6" s="325">
        <v>87.414000000000001</v>
      </c>
      <c r="HO6" s="325">
        <v>83.272999999999996</v>
      </c>
      <c r="HP6" s="325">
        <v>81.933000000000007</v>
      </c>
      <c r="HQ6" s="294">
        <v>70.775000000000006</v>
      </c>
      <c r="HR6" s="441">
        <v>84.58</v>
      </c>
      <c r="HS6" s="447">
        <v>80.424000000000007</v>
      </c>
      <c r="HT6" s="452">
        <v>67.921000000000006</v>
      </c>
      <c r="HU6" s="452">
        <v>74.787000000000006</v>
      </c>
      <c r="HV6" s="452">
        <v>83.507000000000005</v>
      </c>
      <c r="HW6" s="452">
        <v>89.296000000000006</v>
      </c>
      <c r="HX6" s="452">
        <v>80.388999999999996</v>
      </c>
      <c r="HY6" s="479">
        <f>SUM(HM6:HX6)</f>
        <v>949.98000000000013</v>
      </c>
      <c r="HZ6" s="467">
        <v>64988</v>
      </c>
      <c r="IA6" s="467">
        <v>69495</v>
      </c>
      <c r="IB6" s="467">
        <v>70842</v>
      </c>
      <c r="IC6" s="467">
        <v>87282</v>
      </c>
      <c r="ID6" s="467">
        <v>67722</v>
      </c>
      <c r="IE6" s="467">
        <v>65855</v>
      </c>
      <c r="IF6" s="467">
        <v>74098</v>
      </c>
      <c r="IG6" s="467">
        <v>61397</v>
      </c>
      <c r="IH6" s="467">
        <v>69052</v>
      </c>
      <c r="II6" s="467">
        <v>65619</v>
      </c>
      <c r="IJ6" s="467">
        <v>74337</v>
      </c>
      <c r="IK6" s="467">
        <v>66450</v>
      </c>
      <c r="IL6" s="468">
        <f>SUM(HZ6:IK6)</f>
        <v>837137</v>
      </c>
      <c r="IM6" s="467">
        <v>67208</v>
      </c>
      <c r="IN6" s="467">
        <v>64034</v>
      </c>
      <c r="IO6" s="467">
        <v>73874</v>
      </c>
      <c r="IP6" s="467">
        <v>81338</v>
      </c>
      <c r="IQ6" s="467">
        <v>61933</v>
      </c>
      <c r="IR6" s="467">
        <v>81983</v>
      </c>
      <c r="IS6" s="467">
        <v>70037</v>
      </c>
      <c r="IT6" s="467">
        <v>64114</v>
      </c>
      <c r="IU6" s="467">
        <v>74409</v>
      </c>
      <c r="IV6" s="467">
        <v>87351</v>
      </c>
      <c r="IW6" s="467">
        <v>75445</v>
      </c>
      <c r="IX6" s="467">
        <v>71253</v>
      </c>
      <c r="IY6" s="468">
        <f>SUM(IM6:IX6)</f>
        <v>872979</v>
      </c>
      <c r="IZ6" s="467">
        <v>70502</v>
      </c>
      <c r="JA6" s="467">
        <v>80411</v>
      </c>
      <c r="JB6" s="467">
        <v>83596</v>
      </c>
      <c r="JC6" s="467">
        <v>83827</v>
      </c>
      <c r="JD6" s="467">
        <v>68522</v>
      </c>
      <c r="JE6" s="467">
        <v>77835</v>
      </c>
      <c r="JF6" s="520">
        <v>86</v>
      </c>
      <c r="JG6" s="467">
        <v>76896</v>
      </c>
      <c r="JH6" s="484">
        <v>83625</v>
      </c>
      <c r="JI6" s="484">
        <v>82960</v>
      </c>
      <c r="JJ6" s="484">
        <v>88803</v>
      </c>
      <c r="JK6" s="484">
        <v>83631</v>
      </c>
      <c r="JL6" s="529">
        <v>969</v>
      </c>
      <c r="JM6" s="467">
        <v>70491.409</v>
      </c>
      <c r="JN6" s="573">
        <v>82</v>
      </c>
    </row>
    <row r="7" spans="1:292" ht="14.25" thickBot="1" x14ac:dyDescent="0.2">
      <c r="A7" s="555"/>
      <c r="B7" s="36" t="s">
        <v>77</v>
      </c>
      <c r="C7" s="30"/>
      <c r="D7" s="31">
        <f t="shared" ref="D7:N7" si="30">(D6/C6-1)*100</f>
        <v>10.20000000000001</v>
      </c>
      <c r="E7" s="32">
        <f t="shared" si="30"/>
        <v>0.90744101633393193</v>
      </c>
      <c r="F7" s="31">
        <f t="shared" si="30"/>
        <v>-11.690647482014393</v>
      </c>
      <c r="G7" s="32">
        <f t="shared" si="30"/>
        <v>-9.3686354378818777</v>
      </c>
      <c r="H7" s="31">
        <f t="shared" si="30"/>
        <v>-45.842696629213485</v>
      </c>
      <c r="I7" s="32">
        <f t="shared" si="30"/>
        <v>86.721991701244818</v>
      </c>
      <c r="J7" s="31">
        <f t="shared" si="30"/>
        <v>1.3333333333333419</v>
      </c>
      <c r="K7" s="32">
        <f t="shared" si="30"/>
        <v>6.3596491228070207</v>
      </c>
      <c r="L7" s="31">
        <f t="shared" si="30"/>
        <v>-17.113402061855666</v>
      </c>
      <c r="M7" s="32">
        <f t="shared" si="30"/>
        <v>1.990049751243772</v>
      </c>
      <c r="N7" s="32">
        <f t="shared" si="30"/>
        <v>15.121951219512187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2">
        <f t="shared" ref="AA7:AL7" si="31">(AA6/O6-1)*100</f>
        <v>24.137931034482762</v>
      </c>
      <c r="AB7" s="32">
        <f t="shared" si="31"/>
        <v>36.666666666666671</v>
      </c>
      <c r="AC7" s="32">
        <f t="shared" si="31"/>
        <v>5.7142857142857162</v>
      </c>
      <c r="AD7" s="32">
        <f t="shared" si="31"/>
        <v>5.1282051282051322</v>
      </c>
      <c r="AE7" s="32">
        <f t="shared" si="31"/>
        <v>3.4482758620689724</v>
      </c>
      <c r="AF7" s="32">
        <f t="shared" si="31"/>
        <v>12.12121212121211</v>
      </c>
      <c r="AG7" s="32">
        <f t="shared" si="31"/>
        <v>0</v>
      </c>
      <c r="AH7" s="32">
        <f t="shared" si="31"/>
        <v>42.857142857142861</v>
      </c>
      <c r="AI7" s="32">
        <f t="shared" si="31"/>
        <v>27.027027027027017</v>
      </c>
      <c r="AJ7" s="32">
        <f t="shared" si="31"/>
        <v>13.888888888888884</v>
      </c>
      <c r="AK7" s="32">
        <f t="shared" si="31"/>
        <v>13.157894736842103</v>
      </c>
      <c r="AL7" s="89">
        <f t="shared" si="31"/>
        <v>7.6923076923076872</v>
      </c>
      <c r="AM7" s="32">
        <f>(AM6/N6-1)*100</f>
        <v>-6.3559322033898358</v>
      </c>
      <c r="AN7" s="114">
        <f t="shared" ref="AN7:AY7" si="32">(AN6/AA6-1)*100</f>
        <v>8.333333333333325</v>
      </c>
      <c r="AO7" s="32">
        <f t="shared" si="32"/>
        <v>0</v>
      </c>
      <c r="AP7" s="89">
        <f t="shared" si="32"/>
        <v>21.621621621621621</v>
      </c>
      <c r="AQ7" s="32">
        <f t="shared" si="32"/>
        <v>-2.4390243902439046</v>
      </c>
      <c r="AR7" s="32">
        <f t="shared" si="32"/>
        <v>26.666666666666661</v>
      </c>
      <c r="AS7" s="31">
        <f t="shared" si="32"/>
        <v>-2.7027027027026973</v>
      </c>
      <c r="AT7" s="32">
        <f t="shared" si="32"/>
        <v>-13.513513513513509</v>
      </c>
      <c r="AU7" s="31">
        <f t="shared" si="32"/>
        <v>-15.000000000000002</v>
      </c>
      <c r="AV7" s="32">
        <f t="shared" si="32"/>
        <v>-17.021276595744684</v>
      </c>
      <c r="AW7" s="31">
        <f t="shared" si="32"/>
        <v>-17.073170731707322</v>
      </c>
      <c r="AX7" s="32">
        <f t="shared" si="32"/>
        <v>-25.581395348837212</v>
      </c>
      <c r="AY7" s="31">
        <f t="shared" si="32"/>
        <v>-23.809523809523814</v>
      </c>
      <c r="AZ7" s="107">
        <f t="shared" ref="AZ7:BL7" si="33">(AZ6/AM6-1)*100</f>
        <v>-5.4298642533936681</v>
      </c>
      <c r="BA7" s="124">
        <f t="shared" si="33"/>
        <v>-33.333333333333336</v>
      </c>
      <c r="BB7" s="32">
        <f t="shared" si="33"/>
        <v>-17.073170731707322</v>
      </c>
      <c r="BC7" s="32">
        <f t="shared" si="33"/>
        <v>-28.888888888888886</v>
      </c>
      <c r="BD7" s="32">
        <f t="shared" si="33"/>
        <v>-5.0000000000000044</v>
      </c>
      <c r="BE7" s="32">
        <f t="shared" si="33"/>
        <v>-23.684210526315784</v>
      </c>
      <c r="BF7" s="32">
        <f t="shared" si="33"/>
        <v>-2.777777777777779</v>
      </c>
      <c r="BG7" s="32">
        <f t="shared" si="33"/>
        <v>9.375</v>
      </c>
      <c r="BH7" s="32">
        <f t="shared" si="33"/>
        <v>0</v>
      </c>
      <c r="BI7" s="32">
        <f t="shared" si="33"/>
        <v>-5.1282051282051322</v>
      </c>
      <c r="BJ7" s="32">
        <f t="shared" si="33"/>
        <v>5.8823529411764719</v>
      </c>
      <c r="BK7" s="32">
        <f t="shared" si="33"/>
        <v>12.5</v>
      </c>
      <c r="BL7" s="32">
        <f t="shared" si="33"/>
        <v>43.75</v>
      </c>
      <c r="BM7" s="32">
        <f t="shared" ref="BM7:BX7" si="34">(BM6/BA6-1)*100</f>
        <v>23.076923076923084</v>
      </c>
      <c r="BN7" s="32">
        <f t="shared" si="34"/>
        <v>11.764705882352944</v>
      </c>
      <c r="BO7" s="32">
        <f t="shared" si="34"/>
        <v>25</v>
      </c>
      <c r="BP7" s="32">
        <f t="shared" si="34"/>
        <v>7.8947368421052655</v>
      </c>
      <c r="BQ7" s="32">
        <f t="shared" si="34"/>
        <v>41.37931034482758</v>
      </c>
      <c r="BR7" s="32">
        <f t="shared" si="34"/>
        <v>8.5714285714285623</v>
      </c>
      <c r="BS7" s="32">
        <f t="shared" si="34"/>
        <v>34.285714285714278</v>
      </c>
      <c r="BT7" s="32">
        <f t="shared" si="34"/>
        <v>23.529411764705888</v>
      </c>
      <c r="BU7" s="32">
        <f t="shared" si="34"/>
        <v>8.1081081081081141</v>
      </c>
      <c r="BV7" s="32">
        <f t="shared" si="34"/>
        <v>19.444444444444443</v>
      </c>
      <c r="BW7" s="32">
        <f t="shared" si="34"/>
        <v>8.333333333333325</v>
      </c>
      <c r="BX7" s="32">
        <f t="shared" si="34"/>
        <v>-4.3478260869565188</v>
      </c>
      <c r="BY7" s="106">
        <f>(BY6/AZ6-1)*100</f>
        <v>16.028708133971282</v>
      </c>
      <c r="BZ7" s="114">
        <f t="shared" ref="BZ7:DE7" si="35">(BZ6/BM6-1)*100</f>
        <v>37.5</v>
      </c>
      <c r="CA7" s="32">
        <f t="shared" si="35"/>
        <v>15.789473684210531</v>
      </c>
      <c r="CB7" s="32">
        <f t="shared" si="35"/>
        <v>25</v>
      </c>
      <c r="CC7" s="32">
        <f t="shared" si="35"/>
        <v>19.512195121951216</v>
      </c>
      <c r="CD7" s="32">
        <f t="shared" si="35"/>
        <v>17.073170731707311</v>
      </c>
      <c r="CE7" s="89">
        <f t="shared" si="35"/>
        <v>10.526315789473696</v>
      </c>
      <c r="CF7" s="89">
        <f t="shared" si="35"/>
        <v>6.3829787234042534</v>
      </c>
      <c r="CG7" s="89">
        <f t="shared" si="35"/>
        <v>16.666666666666675</v>
      </c>
      <c r="CH7" s="89">
        <f t="shared" si="35"/>
        <v>39.999999999999993</v>
      </c>
      <c r="CI7" s="89">
        <f t="shared" si="35"/>
        <v>-4.651162790697672</v>
      </c>
      <c r="CJ7" s="108">
        <f t="shared" si="35"/>
        <v>38.46153846153846</v>
      </c>
      <c r="CK7" s="307">
        <f t="shared" si="35"/>
        <v>6.8181818181818121</v>
      </c>
      <c r="CL7" s="308">
        <f t="shared" si="35"/>
        <v>18.350515463917528</v>
      </c>
      <c r="CM7" s="287">
        <f t="shared" si="35"/>
        <v>2.2727272727272707</v>
      </c>
      <c r="CN7" s="288">
        <f t="shared" si="35"/>
        <v>2.2727272727272707</v>
      </c>
      <c r="CO7" s="288">
        <f t="shared" si="35"/>
        <v>13.999999999999989</v>
      </c>
      <c r="CP7" s="326">
        <f t="shared" si="35"/>
        <v>4.081632653061229</v>
      </c>
      <c r="CQ7" s="333">
        <f t="shared" si="35"/>
        <v>2.0833333333333259</v>
      </c>
      <c r="CR7" s="333">
        <f t="shared" si="35"/>
        <v>23.809523809523814</v>
      </c>
      <c r="CS7" s="333">
        <f t="shared" si="35"/>
        <v>6.0000000000000053</v>
      </c>
      <c r="CT7" s="333">
        <f t="shared" si="35"/>
        <v>30.612244897959172</v>
      </c>
      <c r="CU7" s="333">
        <f t="shared" si="35"/>
        <v>7.1428571428571397</v>
      </c>
      <c r="CV7" s="333">
        <f t="shared" si="35"/>
        <v>46.341463414634141</v>
      </c>
      <c r="CW7" s="326">
        <f t="shared" si="35"/>
        <v>1.8518518518518601</v>
      </c>
      <c r="CX7" s="316">
        <f t="shared" si="35"/>
        <v>29.787234042553191</v>
      </c>
      <c r="CY7" s="308">
        <f t="shared" si="35"/>
        <v>13.588850174216027</v>
      </c>
      <c r="CZ7" s="326">
        <f t="shared" si="35"/>
        <v>11.111111111111116</v>
      </c>
      <c r="DA7" s="326">
        <f t="shared" si="35"/>
        <v>24.444444444444446</v>
      </c>
      <c r="DB7" s="326">
        <f t="shared" si="35"/>
        <v>-1.7543859649122862</v>
      </c>
      <c r="DC7" s="326">
        <f t="shared" si="35"/>
        <v>9.8039215686274606</v>
      </c>
      <c r="DD7" s="326">
        <f t="shared" si="35"/>
        <v>6.1224489795918435</v>
      </c>
      <c r="DE7" s="326">
        <f t="shared" si="35"/>
        <v>9.6153846153846256</v>
      </c>
      <c r="DF7" s="326">
        <f>(DF6/CS6-1)*100</f>
        <v>1.8867924528301883</v>
      </c>
      <c r="DG7" s="326">
        <f>(DG6/CT6-1)*100</f>
        <v>-10.9375</v>
      </c>
      <c r="DH7" s="326">
        <f>(DH6/CT6-1)*100</f>
        <v>-7.8125</v>
      </c>
      <c r="DI7" s="326">
        <f>(DI6/CU6-1)*100</f>
        <v>1.6666666666666607</v>
      </c>
      <c r="DJ7" s="326">
        <f>(DJ6/CV6-1)*100</f>
        <v>1.6666666666666607</v>
      </c>
      <c r="DK7" s="326">
        <f>(DK6/CW6-1)*100</f>
        <v>16.36363636363636</v>
      </c>
      <c r="DL7" s="308">
        <f t="shared" ref="DL7:EL7" si="36">(DL6/CY6-1)*100</f>
        <v>4.7546012269938709</v>
      </c>
      <c r="DM7" s="326">
        <f t="shared" si="36"/>
        <v>2.0000000000000018</v>
      </c>
      <c r="DN7" s="326">
        <f t="shared" si="36"/>
        <v>10.714285714285721</v>
      </c>
      <c r="DO7" s="326">
        <f t="shared" si="36"/>
        <v>26.785714285714278</v>
      </c>
      <c r="DP7" s="326">
        <f t="shared" si="36"/>
        <v>33.928571428571416</v>
      </c>
      <c r="DQ7" s="326">
        <f t="shared" si="36"/>
        <v>17.307692307692314</v>
      </c>
      <c r="DR7" s="326">
        <f t="shared" si="36"/>
        <v>24.561403508771939</v>
      </c>
      <c r="DS7" s="326">
        <f t="shared" si="36"/>
        <v>25.925925925925931</v>
      </c>
      <c r="DT7" s="326">
        <f t="shared" si="36"/>
        <v>-1.7543859649122862</v>
      </c>
      <c r="DU7" s="326">
        <f t="shared" si="36"/>
        <v>18.644067796610166</v>
      </c>
      <c r="DV7" s="326">
        <f t="shared" si="36"/>
        <v>16.393442622950815</v>
      </c>
      <c r="DW7" s="326">
        <f t="shared" si="36"/>
        <v>19.672131147540984</v>
      </c>
      <c r="DX7" s="288">
        <f t="shared" si="36"/>
        <v>14.0625</v>
      </c>
      <c r="DY7" s="399">
        <f t="shared" si="36"/>
        <v>17.423133235724752</v>
      </c>
      <c r="DZ7" s="326">
        <f t="shared" si="36"/>
        <v>35.294117647058833</v>
      </c>
      <c r="EA7" s="326">
        <f t="shared" si="36"/>
        <v>9.6774193548387011</v>
      </c>
      <c r="EB7" s="326">
        <f t="shared" si="36"/>
        <v>-2.8169014084507005</v>
      </c>
      <c r="EC7" s="326">
        <f t="shared" si="36"/>
        <v>-2.6666666666666616</v>
      </c>
      <c r="ED7" s="326">
        <f t="shared" si="36"/>
        <v>34.426229508196712</v>
      </c>
      <c r="EE7" s="326">
        <f t="shared" si="36"/>
        <v>16.901408450704224</v>
      </c>
      <c r="EF7" s="326">
        <f t="shared" si="36"/>
        <v>26.470588235294112</v>
      </c>
      <c r="EG7" s="326">
        <f t="shared" si="36"/>
        <v>48.214285714285722</v>
      </c>
      <c r="EH7" s="326">
        <f t="shared" si="36"/>
        <v>19.999999999999996</v>
      </c>
      <c r="EI7" s="326">
        <f t="shared" si="36"/>
        <v>4.2253521126760507</v>
      </c>
      <c r="EJ7" s="326">
        <f t="shared" si="36"/>
        <v>-5.4794520547945202</v>
      </c>
      <c r="EK7" s="326">
        <f t="shared" si="36"/>
        <v>-16.43835616438356</v>
      </c>
      <c r="EL7" s="399">
        <f t="shared" si="36"/>
        <v>12.344139650872821</v>
      </c>
      <c r="EM7" s="326">
        <f t="shared" ref="EM7:EX7" si="37">(EM6/DZ6-1)*100</f>
        <v>-39.130434782608688</v>
      </c>
      <c r="EN7" s="326">
        <f t="shared" si="37"/>
        <v>-58.82352941176471</v>
      </c>
      <c r="EO7" s="326">
        <f t="shared" si="37"/>
        <v>-57.971014492753625</v>
      </c>
      <c r="EP7" s="326">
        <f t="shared" si="37"/>
        <v>-49.743835616438361</v>
      </c>
      <c r="EQ7" s="326">
        <f t="shared" si="37"/>
        <v>-58.4</v>
      </c>
      <c r="ER7" s="326">
        <f t="shared" si="37"/>
        <v>-52.11566265060241</v>
      </c>
      <c r="ES7" s="326">
        <f t="shared" si="37"/>
        <v>-54.427906976744175</v>
      </c>
      <c r="ET7" s="326">
        <f t="shared" si="37"/>
        <v>-58.844578313253017</v>
      </c>
      <c r="EU7" s="326">
        <f t="shared" si="37"/>
        <v>-39.455952380952382</v>
      </c>
      <c r="EV7" s="326">
        <f t="shared" si="37"/>
        <v>-39.187837837837833</v>
      </c>
      <c r="EW7" s="326">
        <f t="shared" si="37"/>
        <v>-26.027536231884064</v>
      </c>
      <c r="EX7" s="326">
        <f t="shared" si="37"/>
        <v>-23.38524590163934</v>
      </c>
      <c r="EY7" s="399">
        <f t="shared" ref="EY7:FX7" si="38">(EY6/EL6-1)*100</f>
        <v>-47.11120976692564</v>
      </c>
      <c r="EZ7" s="326">
        <f t="shared" si="38"/>
        <v>22.75476190476191</v>
      </c>
      <c r="FA7" s="326">
        <f t="shared" si="38"/>
        <v>84.675000000000011</v>
      </c>
      <c r="FB7" s="326">
        <f t="shared" si="38"/>
        <v>122.6</v>
      </c>
      <c r="FC7" s="326">
        <f t="shared" si="38"/>
        <v>80.696159402513175</v>
      </c>
      <c r="FD7" s="326">
        <f t="shared" si="38"/>
        <v>84.691604127579751</v>
      </c>
      <c r="FE7" s="326">
        <f t="shared" si="38"/>
        <v>46.965579710144922</v>
      </c>
      <c r="FF7" s="326">
        <f t="shared" si="38"/>
        <v>59.269748928352726</v>
      </c>
      <c r="FG7" s="326">
        <f t="shared" si="38"/>
        <v>73.263268831054788</v>
      </c>
      <c r="FH7" s="326">
        <f t="shared" si="38"/>
        <v>13.716892463181086</v>
      </c>
      <c r="FI7" s="326">
        <f t="shared" si="38"/>
        <v>60.274216128530476</v>
      </c>
      <c r="FJ7" s="326">
        <f t="shared" si="38"/>
        <v>20.975294371191787</v>
      </c>
      <c r="FK7" s="326">
        <f t="shared" si="38"/>
        <v>72.712100139082054</v>
      </c>
      <c r="FL7" s="399">
        <f t="shared" si="38"/>
        <v>57.294429708222808</v>
      </c>
      <c r="FM7" s="326">
        <f t="shared" si="38"/>
        <v>14.894194774715363</v>
      </c>
      <c r="FN7" s="326">
        <f t="shared" si="38"/>
        <v>15.693592991548844</v>
      </c>
      <c r="FO7" s="326">
        <f t="shared" si="38"/>
        <v>14.688477863494121</v>
      </c>
      <c r="FP7" s="326">
        <f t="shared" si="38"/>
        <v>-14.226452663971523</v>
      </c>
      <c r="FQ7" s="326">
        <f t="shared" si="38"/>
        <v>-23.488778134027488</v>
      </c>
      <c r="FR7" s="326">
        <f t="shared" si="38"/>
        <v>2.6177024482109346</v>
      </c>
      <c r="FS7" s="326">
        <f t="shared" si="38"/>
        <v>-3.0005927492350315</v>
      </c>
      <c r="FT7" s="326">
        <f t="shared" si="38"/>
        <v>10.901410830446888</v>
      </c>
      <c r="FU7" s="326">
        <f t="shared" si="38"/>
        <v>26.612833503363142</v>
      </c>
      <c r="FV7" s="326">
        <f t="shared" si="38"/>
        <v>-3.8696707105719153</v>
      </c>
      <c r="FW7" s="326">
        <f t="shared" si="38"/>
        <v>7.8011887217192655</v>
      </c>
      <c r="FX7" s="326">
        <f t="shared" si="38"/>
        <v>10.285317838869146</v>
      </c>
      <c r="FY7" s="399">
        <f t="shared" ref="FY7:HL7" si="39">(FY6/FL6-1)*100</f>
        <v>4.3857664311482081</v>
      </c>
      <c r="FZ7" s="326">
        <f t="shared" si="39"/>
        <v>16.079748801404548</v>
      </c>
      <c r="GA7" s="326">
        <f t="shared" si="39"/>
        <v>25.195573682802895</v>
      </c>
      <c r="GB7" s="326">
        <f t="shared" si="39"/>
        <v>3.0174509697984631</v>
      </c>
      <c r="GC7" s="326">
        <f t="shared" si="39"/>
        <v>34.909692056066554</v>
      </c>
      <c r="GD7" s="326">
        <f t="shared" si="39"/>
        <v>67.240621032454001</v>
      </c>
      <c r="GE7" s="326">
        <f t="shared" si="39"/>
        <v>20.736081683044418</v>
      </c>
      <c r="GF7" s="326">
        <f t="shared" si="39"/>
        <v>17.528242055889542</v>
      </c>
      <c r="GG7" s="326">
        <f t="shared" si="39"/>
        <v>3.0760089583619088</v>
      </c>
      <c r="GH7" s="326">
        <f t="shared" si="39"/>
        <v>-2.4322626461269592</v>
      </c>
      <c r="GI7" s="326">
        <f t="shared" si="39"/>
        <v>3.1889116450803279</v>
      </c>
      <c r="GJ7" s="326">
        <f t="shared" si="39"/>
        <v>-1.2048554774352405</v>
      </c>
      <c r="GK7" s="326">
        <f t="shared" si="39"/>
        <v>-25.247419090306565</v>
      </c>
      <c r="GL7" s="399">
        <f t="shared" si="39"/>
        <v>10.391837894874612</v>
      </c>
      <c r="GM7" s="326">
        <f t="shared" si="39"/>
        <v>-1.5881095388374233</v>
      </c>
      <c r="GN7" s="326">
        <f t="shared" si="39"/>
        <v>-5.4247833691603127</v>
      </c>
      <c r="GO7" s="326">
        <f t="shared" si="39"/>
        <v>14.223154582404618</v>
      </c>
      <c r="GP7" s="326">
        <f t="shared" si="39"/>
        <v>12.128638656776737</v>
      </c>
      <c r="GQ7" s="326">
        <f t="shared" si="39"/>
        <v>4.267142998908402</v>
      </c>
      <c r="GR7" s="326">
        <f t="shared" si="39"/>
        <v>7.1108777360159303</v>
      </c>
      <c r="GS7" s="326">
        <f t="shared" si="39"/>
        <v>5.0533297733309057</v>
      </c>
      <c r="GT7" s="326">
        <f t="shared" si="39"/>
        <v>-1.0656852311694553</v>
      </c>
      <c r="GU7" s="326">
        <f t="shared" si="39"/>
        <v>21.753005892809639</v>
      </c>
      <c r="GV7" s="326">
        <f t="shared" si="39"/>
        <v>11.682158082325822</v>
      </c>
      <c r="GW7" s="326">
        <f t="shared" si="39"/>
        <v>22.290988716888172</v>
      </c>
      <c r="GX7" s="326">
        <f t="shared" si="39"/>
        <v>35.07303438326521</v>
      </c>
      <c r="GY7" s="399">
        <f t="shared" si="39"/>
        <v>10.229422484237038</v>
      </c>
      <c r="GZ7" s="326">
        <f t="shared" si="39"/>
        <v>10.142014807371179</v>
      </c>
      <c r="HA7" s="326">
        <f t="shared" si="39"/>
        <v>16.099613180111238</v>
      </c>
      <c r="HB7" s="326">
        <f t="shared" si="39"/>
        <v>6.2731008517183717</v>
      </c>
      <c r="HC7" s="326">
        <f t="shared" si="39"/>
        <v>0.6824391094576665</v>
      </c>
      <c r="HD7" s="326">
        <f t="shared" si="39"/>
        <v>-6.6562767678690404</v>
      </c>
      <c r="HE7" s="326">
        <f t="shared" si="39"/>
        <v>2.8665789405784903</v>
      </c>
      <c r="HF7" s="326">
        <f t="shared" si="39"/>
        <v>24.43249461588881</v>
      </c>
      <c r="HG7" s="326">
        <f t="shared" si="39"/>
        <v>13.166504818107128</v>
      </c>
      <c r="HH7" s="326">
        <f t="shared" si="39"/>
        <v>5.9723627333762686</v>
      </c>
      <c r="HI7" s="326">
        <f t="shared" si="39"/>
        <v>11.626597249164593</v>
      </c>
      <c r="HJ7" s="326">
        <f t="shared" si="39"/>
        <v>1.192474602404836</v>
      </c>
      <c r="HK7" s="326">
        <f t="shared" si="39"/>
        <v>-1.3562075142129149</v>
      </c>
      <c r="HL7" s="399">
        <f t="shared" si="39"/>
        <v>6.5381492696586108</v>
      </c>
      <c r="HM7" s="326">
        <f t="shared" ref="HM7" si="40">(HM6/GZ6-1)*100</f>
        <v>-11.875436054312239</v>
      </c>
      <c r="HN7" s="326">
        <f t="shared" ref="HN7" si="41">(HN6/HA6-1)*100</f>
        <v>6.2939273815024732</v>
      </c>
      <c r="HO7" s="326">
        <f t="shared" ref="HO7" si="42">(HO6/HB6-1)*100</f>
        <v>-10.055841785208951</v>
      </c>
      <c r="HP7" s="326">
        <f t="shared" ref="HP7" si="43">(HP6/HC6-1)*100</f>
        <v>-5.3913304542620217</v>
      </c>
      <c r="HQ7" s="288">
        <f t="shared" ref="HQ7" si="44">(HQ6/HD6-1)*100</f>
        <v>-9.7959495800461269</v>
      </c>
      <c r="HR7" s="442">
        <f t="shared" ref="HR7" si="45">(HR6/HE6-1)*100</f>
        <v>6.0750476572689838</v>
      </c>
      <c r="HS7" s="448">
        <f t="shared" ref="HS7" si="46">(HS6/HF6-1)*100</f>
        <v>-13.543032830943213</v>
      </c>
      <c r="HT7" s="448">
        <f t="shared" ref="HT7" si="47">(HT6/HG6-1)*100</f>
        <v>-10.332946084385064</v>
      </c>
      <c r="HU7" s="448">
        <f t="shared" ref="HU7" si="48">(HU6/HH6-1)*100</f>
        <v>-18.867637965263228</v>
      </c>
      <c r="HV7" s="448">
        <f t="shared" ref="HV7" si="49">(HV6/HI6-1)*100</f>
        <v>-6.3749397374233352</v>
      </c>
      <c r="HW7" s="448">
        <f t="shared" ref="HW7" si="50">(HW6/HJ6-1)*100</f>
        <v>9.7272057016466018</v>
      </c>
      <c r="HX7" s="448">
        <f t="shared" ref="HX7" si="51">(HX6/HK6-1)*100</f>
        <v>-9.3329874582694252</v>
      </c>
      <c r="HY7" s="478">
        <f t="shared" ref="HY7" si="52">(HY6/HL6-1)*100</f>
        <v>-6.3448278581695439</v>
      </c>
      <c r="HZ7" s="448">
        <f>(65/66-1)*100</f>
        <v>-1.5151515151515138</v>
      </c>
      <c r="IA7" s="448">
        <f>(69/87-1)*100</f>
        <v>-20.68965517241379</v>
      </c>
      <c r="IB7" s="448">
        <f>(71/HO6-1)*100</f>
        <v>-14.738270507847673</v>
      </c>
      <c r="IC7" s="448">
        <f>(87/HP6-1)*100</f>
        <v>6.1843213357255289</v>
      </c>
      <c r="ID7" s="448">
        <f>(68/HQ6-1)*100</f>
        <v>-3.9208760155422184</v>
      </c>
      <c r="IE7" s="448">
        <f>(66/HR6-1)*100</f>
        <v>-21.96736817214472</v>
      </c>
      <c r="IF7" s="448">
        <f>(74/HS6-1)*100</f>
        <v>-7.9876653735203469</v>
      </c>
      <c r="IG7" s="448">
        <f>(61/HT6-1)*100</f>
        <v>-10.189779302424885</v>
      </c>
      <c r="IH7" s="448">
        <f>(69/HU6-1)*100</f>
        <v>-7.7379758514180335</v>
      </c>
      <c r="II7" s="448">
        <f>(66/HV6-1)*100</f>
        <v>-20.964709545307581</v>
      </c>
      <c r="IJ7" s="448">
        <f>(74/HW6-1)*100</f>
        <v>-17.129546676222908</v>
      </c>
      <c r="IK7" s="448">
        <f>(66/HX6-1)*100</f>
        <v>-17.899215066737984</v>
      </c>
      <c r="IL7" s="482">
        <f>(837/HY6-1)*100</f>
        <v>-11.892881955409596</v>
      </c>
      <c r="IM7" s="448">
        <f>(IM6/HZ6-1)*100</f>
        <v>3.4160152643564867</v>
      </c>
      <c r="IN7" s="507">
        <f t="shared" ref="IN7:IQ7" si="53">(IN6/IA6-1)*100</f>
        <v>-7.8581192891574947</v>
      </c>
      <c r="IO7" s="507">
        <f t="shared" si="53"/>
        <v>4.2799469241410426</v>
      </c>
      <c r="IP7" s="507">
        <f t="shared" si="53"/>
        <v>-6.8101097591714232</v>
      </c>
      <c r="IQ7" s="507">
        <f t="shared" si="53"/>
        <v>-8.5481822745931861</v>
      </c>
      <c r="IR7" s="507">
        <f>(IR6/IE6-1)*100</f>
        <v>24.490167792878292</v>
      </c>
      <c r="IS7" s="507">
        <f t="shared" ref="IS7:IX7" si="54">(IS6/IF6-1)*100</f>
        <v>-5.4805797727334067</v>
      </c>
      <c r="IT7" s="507">
        <f t="shared" si="54"/>
        <v>4.4252976529797872</v>
      </c>
      <c r="IU7" s="507">
        <f t="shared" si="54"/>
        <v>7.7579215663557965</v>
      </c>
      <c r="IV7" s="507">
        <f t="shared" si="54"/>
        <v>33.118456544598374</v>
      </c>
      <c r="IW7" s="507">
        <f t="shared" si="54"/>
        <v>1.4905094367542393</v>
      </c>
      <c r="IX7" s="507">
        <f t="shared" si="54"/>
        <v>7.2279909706546297</v>
      </c>
      <c r="IY7" s="482">
        <f>(IY6/IL6-1)*100</f>
        <v>4.2814975326619154</v>
      </c>
      <c r="IZ7" s="507">
        <f>(IZ6/IM6-1)*100</f>
        <v>4.9012022378288389</v>
      </c>
      <c r="JA7" s="507">
        <f t="shared" ref="JA7:JE7" si="55">(JA6/IN6-1)*100</f>
        <v>25.575475528625425</v>
      </c>
      <c r="JB7" s="507">
        <f t="shared" si="55"/>
        <v>13.160245823970552</v>
      </c>
      <c r="JC7" s="507">
        <f t="shared" si="55"/>
        <v>3.0600703238338856</v>
      </c>
      <c r="JD7" s="507">
        <f t="shared" si="55"/>
        <v>10.638916248203699</v>
      </c>
      <c r="JE7" s="507">
        <f t="shared" si="55"/>
        <v>-5.0595855238281136</v>
      </c>
      <c r="JF7" s="507">
        <f>(JF6/70-1)*100</f>
        <v>22.857142857142865</v>
      </c>
      <c r="JG7" s="507">
        <f>(JG6/IT6-1)*100</f>
        <v>19.936363352777864</v>
      </c>
      <c r="JH7" s="507">
        <f t="shared" ref="JH7:JK7" si="56">(JH6/IU6-1)*100</f>
        <v>12.385598516308516</v>
      </c>
      <c r="JI7" s="507">
        <f t="shared" si="56"/>
        <v>-5.0268457144165506</v>
      </c>
      <c r="JJ7" s="507">
        <f t="shared" si="56"/>
        <v>17.705613360726357</v>
      </c>
      <c r="JK7" s="507">
        <f t="shared" si="56"/>
        <v>17.371900130520814</v>
      </c>
      <c r="JL7" s="532">
        <f>(JL6/873-1)*100</f>
        <v>10.996563573883167</v>
      </c>
      <c r="JM7" s="507">
        <f t="shared" si="29"/>
        <v>-1.502226887180047E-2</v>
      </c>
      <c r="JN7" s="574">
        <f>(JN6/80-1)*100</f>
        <v>2.4999999999999911</v>
      </c>
    </row>
    <row r="8" spans="1:292" x14ac:dyDescent="0.15">
      <c r="A8" s="553" t="s">
        <v>122</v>
      </c>
      <c r="B8" s="11" t="s">
        <v>127</v>
      </c>
      <c r="C8" s="12">
        <v>14858</v>
      </c>
      <c r="D8" s="13">
        <v>14316</v>
      </c>
      <c r="E8" s="14">
        <v>12263</v>
      </c>
      <c r="F8" s="13">
        <v>10430</v>
      </c>
      <c r="G8" s="14">
        <v>10362</v>
      </c>
      <c r="H8" s="13">
        <v>15659</v>
      </c>
      <c r="I8" s="14">
        <v>9494</v>
      </c>
      <c r="J8" s="13">
        <v>8554</v>
      </c>
      <c r="K8" s="14">
        <v>7889</v>
      </c>
      <c r="L8" s="13">
        <v>6781</v>
      </c>
      <c r="M8" s="129">
        <v>6028</v>
      </c>
      <c r="N8" s="13">
        <f>SUM(AA8:AL8)</f>
        <v>6801</v>
      </c>
      <c r="O8" s="14">
        <v>452</v>
      </c>
      <c r="P8" s="13">
        <v>490</v>
      </c>
      <c r="Q8" s="13">
        <v>503</v>
      </c>
      <c r="R8" s="13">
        <v>500</v>
      </c>
      <c r="S8" s="13">
        <v>438</v>
      </c>
      <c r="T8" s="13">
        <v>496</v>
      </c>
      <c r="U8" s="13">
        <v>518</v>
      </c>
      <c r="V8" s="13">
        <v>464</v>
      </c>
      <c r="W8" s="13">
        <v>538</v>
      </c>
      <c r="X8" s="13">
        <v>551</v>
      </c>
      <c r="Y8" s="13">
        <v>548</v>
      </c>
      <c r="Z8" s="13">
        <v>530</v>
      </c>
      <c r="AA8" s="14">
        <v>568</v>
      </c>
      <c r="AB8" s="13">
        <v>596</v>
      </c>
      <c r="AC8" s="14">
        <v>536</v>
      </c>
      <c r="AD8" s="13">
        <v>567</v>
      </c>
      <c r="AE8" s="14">
        <v>578</v>
      </c>
      <c r="AF8" s="13">
        <v>557</v>
      </c>
      <c r="AG8" s="14">
        <v>574</v>
      </c>
      <c r="AH8" s="13">
        <v>509</v>
      </c>
      <c r="AI8" s="14">
        <v>581</v>
      </c>
      <c r="AJ8" s="13">
        <v>593</v>
      </c>
      <c r="AK8" s="14">
        <v>572</v>
      </c>
      <c r="AL8" s="13">
        <v>570</v>
      </c>
      <c r="AM8" s="14">
        <f>SUM(AN8:AY8)</f>
        <v>6480</v>
      </c>
      <c r="AN8" s="113">
        <v>546</v>
      </c>
      <c r="AO8" s="13">
        <v>739</v>
      </c>
      <c r="AP8" s="85">
        <v>594</v>
      </c>
      <c r="AQ8" s="101">
        <v>555</v>
      </c>
      <c r="AR8" s="29">
        <v>475</v>
      </c>
      <c r="AS8" s="28">
        <v>527</v>
      </c>
      <c r="AT8" s="29">
        <v>500</v>
      </c>
      <c r="AU8" s="28">
        <v>464</v>
      </c>
      <c r="AV8" s="29">
        <v>516</v>
      </c>
      <c r="AW8" s="28">
        <v>484</v>
      </c>
      <c r="AX8" s="29">
        <v>505</v>
      </c>
      <c r="AY8" s="28">
        <v>575</v>
      </c>
      <c r="AZ8" s="110">
        <f>SUM(BA8:BL8)</f>
        <v>6944</v>
      </c>
      <c r="BA8" s="59">
        <v>539</v>
      </c>
      <c r="BB8" s="26">
        <v>492</v>
      </c>
      <c r="BC8" s="26">
        <v>476</v>
      </c>
      <c r="BD8" s="26">
        <v>496</v>
      </c>
      <c r="BE8" s="26">
        <v>490</v>
      </c>
      <c r="BF8" s="26">
        <v>627</v>
      </c>
      <c r="BG8" s="26">
        <v>646</v>
      </c>
      <c r="BH8" s="26">
        <v>515</v>
      </c>
      <c r="BI8" s="26">
        <v>617</v>
      </c>
      <c r="BJ8" s="26">
        <v>684</v>
      </c>
      <c r="BK8" s="26">
        <v>676</v>
      </c>
      <c r="BL8" s="26">
        <v>686</v>
      </c>
      <c r="BM8" s="26">
        <v>624</v>
      </c>
      <c r="BN8" s="26">
        <v>687</v>
      </c>
      <c r="BO8" s="26">
        <v>661</v>
      </c>
      <c r="BP8" s="26">
        <v>676</v>
      </c>
      <c r="BQ8" s="26">
        <v>656</v>
      </c>
      <c r="BR8" s="26">
        <v>751</v>
      </c>
      <c r="BS8" s="26">
        <v>795</v>
      </c>
      <c r="BT8" s="26">
        <v>718</v>
      </c>
      <c r="BU8" s="26">
        <v>772</v>
      </c>
      <c r="BV8" s="26">
        <v>790</v>
      </c>
      <c r="BW8" s="26">
        <v>772</v>
      </c>
      <c r="BX8" s="26">
        <v>818</v>
      </c>
      <c r="BY8" s="110">
        <f>SUM(BM8:BX8)</f>
        <v>8720</v>
      </c>
      <c r="BZ8" s="119">
        <v>726</v>
      </c>
      <c r="CA8" s="26">
        <v>777</v>
      </c>
      <c r="CB8" s="26">
        <v>810</v>
      </c>
      <c r="CC8" s="26">
        <v>729</v>
      </c>
      <c r="CD8" s="149">
        <v>675</v>
      </c>
      <c r="CE8" s="154">
        <v>608</v>
      </c>
      <c r="CF8" s="154">
        <v>744</v>
      </c>
      <c r="CG8" s="154">
        <v>646</v>
      </c>
      <c r="CH8" s="154">
        <v>607</v>
      </c>
      <c r="CI8" s="154">
        <v>576</v>
      </c>
      <c r="CJ8" s="147">
        <v>591</v>
      </c>
      <c r="CK8" s="11">
        <v>542</v>
      </c>
      <c r="CL8" s="102">
        <f>SUM(BZ8:CK8)</f>
        <v>8031</v>
      </c>
      <c r="CM8" s="289">
        <v>505</v>
      </c>
      <c r="CN8" s="290">
        <v>559</v>
      </c>
      <c r="CO8" s="290">
        <v>598</v>
      </c>
      <c r="CP8" s="327">
        <v>545</v>
      </c>
      <c r="CQ8" s="334">
        <v>436</v>
      </c>
      <c r="CR8" s="334">
        <v>509</v>
      </c>
      <c r="CS8" s="334">
        <v>477</v>
      </c>
      <c r="CT8" s="334">
        <v>421</v>
      </c>
      <c r="CU8" s="334">
        <v>481</v>
      </c>
      <c r="CV8" s="334">
        <v>458</v>
      </c>
      <c r="CW8" s="327">
        <v>425</v>
      </c>
      <c r="CX8" s="317">
        <v>379</v>
      </c>
      <c r="CY8" s="102">
        <f>SUM(CM8:CX8)</f>
        <v>5793</v>
      </c>
      <c r="CZ8" s="327">
        <v>379</v>
      </c>
      <c r="DA8" s="327">
        <v>413</v>
      </c>
      <c r="DB8" s="327">
        <v>429</v>
      </c>
      <c r="DC8" s="327">
        <v>396</v>
      </c>
      <c r="DD8" s="327">
        <v>351</v>
      </c>
      <c r="DE8" s="327">
        <v>372</v>
      </c>
      <c r="DF8" s="327">
        <v>371</v>
      </c>
      <c r="DG8" s="327">
        <v>317</v>
      </c>
      <c r="DH8" s="327">
        <v>329</v>
      </c>
      <c r="DI8" s="327">
        <v>331</v>
      </c>
      <c r="DJ8" s="327">
        <v>347</v>
      </c>
      <c r="DK8" s="327">
        <v>339</v>
      </c>
      <c r="DL8" s="102">
        <f>SUM(CZ8:DK8)</f>
        <v>4374</v>
      </c>
      <c r="DM8" s="327">
        <v>252</v>
      </c>
      <c r="DN8" s="327">
        <v>254</v>
      </c>
      <c r="DO8" s="327">
        <v>249</v>
      </c>
      <c r="DP8" s="327">
        <v>245</v>
      </c>
      <c r="DQ8" s="327">
        <v>206</v>
      </c>
      <c r="DR8" s="327">
        <v>215</v>
      </c>
      <c r="DS8" s="327">
        <v>214</v>
      </c>
      <c r="DT8" s="327">
        <v>178</v>
      </c>
      <c r="DU8" s="327">
        <v>202</v>
      </c>
      <c r="DV8" s="327">
        <v>222</v>
      </c>
      <c r="DW8" s="327">
        <v>224</v>
      </c>
      <c r="DX8" s="290">
        <v>197</v>
      </c>
      <c r="DY8" s="306">
        <f>SUM(DM8:DX8)</f>
        <v>2658</v>
      </c>
      <c r="DZ8" s="327">
        <v>185</v>
      </c>
      <c r="EA8" s="327">
        <v>192</v>
      </c>
      <c r="EB8" s="327">
        <v>208</v>
      </c>
      <c r="EC8" s="327">
        <v>167</v>
      </c>
      <c r="ED8" s="327">
        <v>156</v>
      </c>
      <c r="EE8" s="327">
        <v>160</v>
      </c>
      <c r="EF8" s="327">
        <v>158</v>
      </c>
      <c r="EG8" s="327">
        <v>94</v>
      </c>
      <c r="EH8" s="327">
        <v>126</v>
      </c>
      <c r="EI8" s="327">
        <v>138</v>
      </c>
      <c r="EJ8" s="327">
        <v>115</v>
      </c>
      <c r="EK8" s="327">
        <v>93</v>
      </c>
      <c r="EL8" s="306">
        <f>SUM(DZ8:EK8)</f>
        <v>1792</v>
      </c>
      <c r="EM8" s="327">
        <v>92</v>
      </c>
      <c r="EN8" s="327">
        <v>66</v>
      </c>
      <c r="EO8" s="327">
        <v>65</v>
      </c>
      <c r="EP8" s="327">
        <v>50</v>
      </c>
      <c r="EQ8" s="327">
        <v>42</v>
      </c>
      <c r="ER8" s="327">
        <v>52</v>
      </c>
      <c r="ES8" s="327">
        <v>49</v>
      </c>
      <c r="ET8" s="327">
        <v>42</v>
      </c>
      <c r="EU8" s="327">
        <v>40</v>
      </c>
      <c r="EV8" s="327">
        <v>50</v>
      </c>
      <c r="EW8" s="327">
        <v>50</v>
      </c>
      <c r="EX8" s="327">
        <v>53</v>
      </c>
      <c r="EY8" s="306">
        <f>SUM(EM8:EX8)</f>
        <v>651</v>
      </c>
      <c r="EZ8" s="327">
        <v>58</v>
      </c>
      <c r="FA8" s="327">
        <v>50</v>
      </c>
      <c r="FB8" s="327">
        <v>68</v>
      </c>
      <c r="FC8" s="327">
        <v>133</v>
      </c>
      <c r="FD8" s="327">
        <v>151</v>
      </c>
      <c r="FE8" s="327">
        <v>155</v>
      </c>
      <c r="FF8" s="327">
        <v>184</v>
      </c>
      <c r="FG8" s="327">
        <v>141</v>
      </c>
      <c r="FH8" s="327">
        <v>150</v>
      </c>
      <c r="FI8" s="327">
        <v>179</v>
      </c>
      <c r="FJ8" s="327">
        <v>173</v>
      </c>
      <c r="FK8" s="327">
        <v>183</v>
      </c>
      <c r="FL8" s="306">
        <f>SUM(EZ8:FK8)</f>
        <v>1625</v>
      </c>
      <c r="FM8" s="327">
        <v>172</v>
      </c>
      <c r="FN8" s="327">
        <v>184</v>
      </c>
      <c r="FO8" s="327">
        <v>194</v>
      </c>
      <c r="FP8" s="327">
        <v>175</v>
      </c>
      <c r="FQ8" s="327">
        <v>144</v>
      </c>
      <c r="FR8" s="327">
        <v>158</v>
      </c>
      <c r="FS8" s="327">
        <v>169</v>
      </c>
      <c r="FT8" s="327">
        <v>159</v>
      </c>
      <c r="FU8" s="327">
        <v>159</v>
      </c>
      <c r="FV8" s="327">
        <v>168</v>
      </c>
      <c r="FW8" s="327">
        <v>157</v>
      </c>
      <c r="FX8" s="327">
        <v>166</v>
      </c>
      <c r="FY8" s="306">
        <f>SUM(FM8:FX8)</f>
        <v>2005</v>
      </c>
      <c r="FZ8" s="327">
        <v>179</v>
      </c>
      <c r="GA8" s="327">
        <v>163</v>
      </c>
      <c r="GB8" s="327">
        <v>174</v>
      </c>
      <c r="GC8" s="327">
        <v>159</v>
      </c>
      <c r="GD8" s="327">
        <v>170</v>
      </c>
      <c r="GE8" s="327">
        <v>147</v>
      </c>
      <c r="GF8" s="327">
        <v>164</v>
      </c>
      <c r="GG8" s="327">
        <v>128</v>
      </c>
      <c r="GH8" s="327">
        <v>119</v>
      </c>
      <c r="GI8" s="327">
        <v>130</v>
      </c>
      <c r="GJ8" s="327">
        <v>130</v>
      </c>
      <c r="GK8" s="327">
        <v>100</v>
      </c>
      <c r="GL8" s="306">
        <f>SUM(FZ8:GK8)</f>
        <v>1763</v>
      </c>
      <c r="GM8" s="327">
        <v>110</v>
      </c>
      <c r="GN8" s="327">
        <v>115</v>
      </c>
      <c r="GO8" s="327">
        <v>126</v>
      </c>
      <c r="GP8" s="327">
        <v>131</v>
      </c>
      <c r="GQ8" s="327">
        <v>129</v>
      </c>
      <c r="GR8" s="327">
        <v>109.29</v>
      </c>
      <c r="GS8" s="327">
        <v>110.34</v>
      </c>
      <c r="GT8" s="327">
        <v>110.99</v>
      </c>
      <c r="GU8" s="327">
        <v>132.13</v>
      </c>
      <c r="GV8" s="327">
        <v>140.44999999999999</v>
      </c>
      <c r="GW8" s="327">
        <v>116.21000000000001</v>
      </c>
      <c r="GX8" s="327">
        <v>101.33</v>
      </c>
      <c r="GY8" s="306">
        <f>SUM(GM8:GX8)</f>
        <v>1431.74</v>
      </c>
      <c r="GZ8" s="327">
        <v>107</v>
      </c>
      <c r="HA8" s="327">
        <v>101.5</v>
      </c>
      <c r="HB8" s="327">
        <v>110.4</v>
      </c>
      <c r="HC8" s="327">
        <v>90.7</v>
      </c>
      <c r="HD8" s="327">
        <v>103.1</v>
      </c>
      <c r="HE8" s="327">
        <v>96.13</v>
      </c>
      <c r="HF8" s="327">
        <v>108.32</v>
      </c>
      <c r="HG8" s="327">
        <v>74.86</v>
      </c>
      <c r="HH8" s="327">
        <v>103.15</v>
      </c>
      <c r="HI8" s="327">
        <v>118.6</v>
      </c>
      <c r="HJ8" s="327">
        <v>109.28</v>
      </c>
      <c r="HK8" s="327">
        <v>98.5</v>
      </c>
      <c r="HL8" s="306">
        <f>SUM(GZ8:HK8)</f>
        <v>1221.54</v>
      </c>
      <c r="HM8" s="327">
        <v>93.52</v>
      </c>
      <c r="HN8" s="327">
        <v>96.87</v>
      </c>
      <c r="HO8" s="327">
        <v>111.52</v>
      </c>
      <c r="HP8" s="327">
        <v>98.7</v>
      </c>
      <c r="HQ8" s="290">
        <v>83.4</v>
      </c>
      <c r="HR8" s="443">
        <v>92</v>
      </c>
      <c r="HS8" s="449">
        <v>94.3</v>
      </c>
      <c r="HT8" s="453">
        <v>74.16</v>
      </c>
      <c r="HU8" s="453">
        <v>82.45</v>
      </c>
      <c r="HV8" s="453">
        <v>91.48</v>
      </c>
      <c r="HW8" s="453">
        <v>75.19</v>
      </c>
      <c r="HX8" s="453">
        <v>77.489999999999995</v>
      </c>
      <c r="HY8" s="477">
        <f>SUM(HM8:HX8)</f>
        <v>1071.08</v>
      </c>
      <c r="HZ8" s="453">
        <v>71.39</v>
      </c>
      <c r="IA8" s="453">
        <v>52.42</v>
      </c>
      <c r="IB8" s="453">
        <v>88.35</v>
      </c>
      <c r="IC8" s="453">
        <v>92.15</v>
      </c>
      <c r="ID8" s="453">
        <v>80.760000000000005</v>
      </c>
      <c r="IE8" s="453">
        <v>78.289999999999992</v>
      </c>
      <c r="IF8" s="453">
        <v>71.02</v>
      </c>
      <c r="IG8" s="453">
        <v>72</v>
      </c>
      <c r="IH8" s="453">
        <v>73.960000000000008</v>
      </c>
      <c r="II8" s="453">
        <v>87.960000000000008</v>
      </c>
      <c r="IJ8" s="453">
        <v>94.3</v>
      </c>
      <c r="IK8" s="453">
        <v>82.05</v>
      </c>
      <c r="IL8" s="485">
        <f>SUM(HZ8:IK8)</f>
        <v>944.65</v>
      </c>
      <c r="IM8" s="453">
        <v>70</v>
      </c>
      <c r="IN8" s="453">
        <v>80</v>
      </c>
      <c r="IO8" s="453">
        <v>122</v>
      </c>
      <c r="IP8" s="453">
        <v>72</v>
      </c>
      <c r="IQ8" s="453">
        <v>84</v>
      </c>
      <c r="IR8" s="453">
        <v>87</v>
      </c>
      <c r="IS8" s="453">
        <v>75</v>
      </c>
      <c r="IT8" s="453">
        <v>68</v>
      </c>
      <c r="IU8" s="453">
        <v>85</v>
      </c>
      <c r="IV8" s="453">
        <v>81</v>
      </c>
      <c r="IW8" s="515">
        <v>95</v>
      </c>
      <c r="IX8" s="453">
        <v>76</v>
      </c>
      <c r="IY8" s="485">
        <f>SUM(IM8:IX8)</f>
        <v>995</v>
      </c>
      <c r="IZ8" s="515">
        <v>78</v>
      </c>
      <c r="JA8" s="453">
        <v>80</v>
      </c>
      <c r="JB8" s="453">
        <v>66</v>
      </c>
      <c r="JC8" s="453">
        <v>82</v>
      </c>
      <c r="JD8" s="453">
        <v>80</v>
      </c>
      <c r="JE8" s="453">
        <v>93</v>
      </c>
      <c r="JF8" s="520">
        <v>100</v>
      </c>
      <c r="JG8" s="520">
        <v>89</v>
      </c>
      <c r="JH8" s="521">
        <v>111</v>
      </c>
      <c r="JI8" s="522">
        <v>104</v>
      </c>
      <c r="JJ8" s="522">
        <v>93</v>
      </c>
      <c r="JK8" s="522">
        <v>92.21</v>
      </c>
      <c r="JL8" s="529">
        <v>1068</v>
      </c>
      <c r="JM8" s="520">
        <v>84</v>
      </c>
      <c r="JN8" s="573">
        <v>82</v>
      </c>
    </row>
    <row r="9" spans="1:292" x14ac:dyDescent="0.15">
      <c r="A9" s="554"/>
      <c r="B9" s="35" t="s">
        <v>76</v>
      </c>
      <c r="C9" s="16"/>
      <c r="D9" s="17">
        <f t="shared" ref="D9:N9" si="57">(D8/C8-1)*100</f>
        <v>-3.6478664692421559</v>
      </c>
      <c r="E9" s="18">
        <f t="shared" si="57"/>
        <v>-14.340597932383348</v>
      </c>
      <c r="F9" s="17">
        <f t="shared" si="57"/>
        <v>-14.947402756258665</v>
      </c>
      <c r="G9" s="18">
        <f t="shared" si="57"/>
        <v>-0.65196548418025024</v>
      </c>
      <c r="H9" s="17">
        <f t="shared" si="57"/>
        <v>51.119475004825318</v>
      </c>
      <c r="I9" s="18">
        <f t="shared" si="57"/>
        <v>-39.370330161568425</v>
      </c>
      <c r="J9" s="17">
        <f t="shared" si="57"/>
        <v>-9.9009900990098991</v>
      </c>
      <c r="K9" s="18">
        <f t="shared" si="57"/>
        <v>-7.774140752864156</v>
      </c>
      <c r="L9" s="17">
        <f t="shared" si="57"/>
        <v>-14.044872607428061</v>
      </c>
      <c r="M9" s="18">
        <f t="shared" si="57"/>
        <v>-11.104556850022117</v>
      </c>
      <c r="N9" s="18">
        <f t="shared" si="57"/>
        <v>12.823490378234915</v>
      </c>
      <c r="O9" s="19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8">
        <f t="shared" ref="AA9:AL9" si="58">(AA8/O8-1)*100</f>
        <v>25.663716814159287</v>
      </c>
      <c r="AB9" s="18">
        <f t="shared" si="58"/>
        <v>21.632653061224481</v>
      </c>
      <c r="AC9" s="18">
        <f t="shared" si="58"/>
        <v>6.5606361829025905</v>
      </c>
      <c r="AD9" s="18">
        <f t="shared" si="58"/>
        <v>13.39999999999999</v>
      </c>
      <c r="AE9" s="18">
        <f t="shared" si="58"/>
        <v>31.963470319634713</v>
      </c>
      <c r="AF9" s="18">
        <f t="shared" si="58"/>
        <v>12.298387096774199</v>
      </c>
      <c r="AG9" s="18">
        <f t="shared" si="58"/>
        <v>10.810810810810811</v>
      </c>
      <c r="AH9" s="18">
        <f t="shared" si="58"/>
        <v>9.6982758620689715</v>
      </c>
      <c r="AI9" s="18">
        <f t="shared" si="58"/>
        <v>7.9925650557620909</v>
      </c>
      <c r="AJ9" s="18">
        <f t="shared" si="58"/>
        <v>7.622504537205077</v>
      </c>
      <c r="AK9" s="18">
        <f t="shared" si="58"/>
        <v>4.3795620437956151</v>
      </c>
      <c r="AL9" s="86">
        <f t="shared" si="58"/>
        <v>7.547169811320753</v>
      </c>
      <c r="AM9" s="18">
        <f>(AM8/N8-1)*100</f>
        <v>-4.7198941332157069</v>
      </c>
      <c r="AN9" s="116">
        <f t="shared" ref="AN9:AY9" si="59">(AN8/AA8-1)*100</f>
        <v>-3.8732394366197131</v>
      </c>
      <c r="AO9" s="18">
        <f t="shared" si="59"/>
        <v>23.993288590604035</v>
      </c>
      <c r="AP9" s="86">
        <f t="shared" si="59"/>
        <v>10.820895522388053</v>
      </c>
      <c r="AQ9" s="18">
        <f t="shared" si="59"/>
        <v>-2.1164021164021163</v>
      </c>
      <c r="AR9" s="18">
        <f t="shared" si="59"/>
        <v>-17.820069204152244</v>
      </c>
      <c r="AS9" s="17">
        <f t="shared" si="59"/>
        <v>-5.3859964093357249</v>
      </c>
      <c r="AT9" s="18">
        <f t="shared" si="59"/>
        <v>-12.891986062717775</v>
      </c>
      <c r="AU9" s="17">
        <f t="shared" si="59"/>
        <v>-8.8408644400785885</v>
      </c>
      <c r="AV9" s="18">
        <f t="shared" si="59"/>
        <v>-11.187607573149737</v>
      </c>
      <c r="AW9" s="17">
        <f t="shared" si="59"/>
        <v>-18.381112984822934</v>
      </c>
      <c r="AX9" s="18">
        <f t="shared" si="59"/>
        <v>-11.713286713286708</v>
      </c>
      <c r="AY9" s="17">
        <f t="shared" si="59"/>
        <v>0.87719298245614308</v>
      </c>
      <c r="AZ9" s="106">
        <f t="shared" ref="AZ9:BL9" si="60">(AZ8/AM8-1)*100</f>
        <v>7.1604938271604857</v>
      </c>
      <c r="BA9" s="123">
        <f t="shared" si="60"/>
        <v>-1.2820512820512775</v>
      </c>
      <c r="BB9" s="18">
        <f t="shared" si="60"/>
        <v>-33.423545331529091</v>
      </c>
      <c r="BC9" s="18">
        <f t="shared" si="60"/>
        <v>-19.865319865319865</v>
      </c>
      <c r="BD9" s="18">
        <f t="shared" si="60"/>
        <v>-10.630630630630634</v>
      </c>
      <c r="BE9" s="18">
        <f t="shared" si="60"/>
        <v>3.1578947368421151</v>
      </c>
      <c r="BF9" s="18">
        <f t="shared" si="60"/>
        <v>18.975332068311189</v>
      </c>
      <c r="BG9" s="18">
        <f t="shared" si="60"/>
        <v>29.200000000000003</v>
      </c>
      <c r="BH9" s="18">
        <f t="shared" si="60"/>
        <v>10.991379310344819</v>
      </c>
      <c r="BI9" s="18">
        <f t="shared" si="60"/>
        <v>19.573643410852704</v>
      </c>
      <c r="BJ9" s="18">
        <f t="shared" si="60"/>
        <v>41.322314049586772</v>
      </c>
      <c r="BK9" s="18">
        <f t="shared" si="60"/>
        <v>33.861386138613867</v>
      </c>
      <c r="BL9" s="18">
        <f t="shared" si="60"/>
        <v>19.304347826086964</v>
      </c>
      <c r="BM9" s="18">
        <f t="shared" ref="BM9:BX9" si="61">(BM8/BA8-1)*100</f>
        <v>15.769944341372909</v>
      </c>
      <c r="BN9" s="18">
        <f t="shared" si="61"/>
        <v>39.634146341463406</v>
      </c>
      <c r="BO9" s="18">
        <f t="shared" si="61"/>
        <v>38.865546218487388</v>
      </c>
      <c r="BP9" s="18">
        <f t="shared" si="61"/>
        <v>36.290322580645153</v>
      </c>
      <c r="BQ9" s="18">
        <f t="shared" si="61"/>
        <v>33.87755102040817</v>
      </c>
      <c r="BR9" s="18">
        <f t="shared" si="61"/>
        <v>19.776714513556627</v>
      </c>
      <c r="BS9" s="18">
        <f t="shared" si="61"/>
        <v>23.065015479876159</v>
      </c>
      <c r="BT9" s="18">
        <f t="shared" si="61"/>
        <v>39.417475728155352</v>
      </c>
      <c r="BU9" s="18">
        <f t="shared" si="61"/>
        <v>25.121555915721228</v>
      </c>
      <c r="BV9" s="18">
        <f t="shared" si="61"/>
        <v>15.497076023391809</v>
      </c>
      <c r="BW9" s="18">
        <f t="shared" si="61"/>
        <v>14.201183431952668</v>
      </c>
      <c r="BX9" s="18">
        <f t="shared" si="61"/>
        <v>19.241982507288636</v>
      </c>
      <c r="BY9" s="307">
        <f>(BY8/AZ8-1)*100</f>
        <v>25.576036866359452</v>
      </c>
      <c r="BZ9" s="116">
        <f t="shared" ref="BZ9:DE9" si="62">(BZ8/BM8-1)*100</f>
        <v>16.346153846153854</v>
      </c>
      <c r="CA9" s="18">
        <f t="shared" si="62"/>
        <v>13.100436681222716</v>
      </c>
      <c r="CB9" s="18">
        <f t="shared" si="62"/>
        <v>22.541603630862326</v>
      </c>
      <c r="CC9" s="18">
        <f t="shared" si="62"/>
        <v>7.8402366863905337</v>
      </c>
      <c r="CD9" s="18">
        <f t="shared" si="62"/>
        <v>2.8963414634146423</v>
      </c>
      <c r="CE9" s="86">
        <f t="shared" si="62"/>
        <v>-19.041278295605856</v>
      </c>
      <c r="CF9" s="86">
        <f t="shared" si="62"/>
        <v>-6.4150943396226401</v>
      </c>
      <c r="CG9" s="86">
        <f t="shared" si="62"/>
        <v>-10.027855153203348</v>
      </c>
      <c r="CH9" s="86">
        <f t="shared" si="62"/>
        <v>-21.373056994818651</v>
      </c>
      <c r="CI9" s="86">
        <f t="shared" si="62"/>
        <v>-27.088607594936708</v>
      </c>
      <c r="CJ9" s="18">
        <f t="shared" si="62"/>
        <v>-23.445595854922274</v>
      </c>
      <c r="CK9" s="106">
        <f t="shared" si="62"/>
        <v>-33.74083129584352</v>
      </c>
      <c r="CL9" s="310">
        <f t="shared" si="62"/>
        <v>-7.9013761467889854</v>
      </c>
      <c r="CM9" s="291">
        <f t="shared" si="62"/>
        <v>-30.44077134986226</v>
      </c>
      <c r="CN9" s="292">
        <f t="shared" si="62"/>
        <v>-28.056628056628053</v>
      </c>
      <c r="CO9" s="292">
        <f t="shared" si="62"/>
        <v>-26.172839506172842</v>
      </c>
      <c r="CP9" s="324">
        <f t="shared" si="62"/>
        <v>-25.240054869684503</v>
      </c>
      <c r="CQ9" s="331">
        <f t="shared" si="62"/>
        <v>-35.407407407407412</v>
      </c>
      <c r="CR9" s="331">
        <f t="shared" si="62"/>
        <v>-16.282894736842103</v>
      </c>
      <c r="CS9" s="331">
        <f t="shared" si="62"/>
        <v>-35.887096774193552</v>
      </c>
      <c r="CT9" s="331">
        <f t="shared" si="62"/>
        <v>-34.829721362229108</v>
      </c>
      <c r="CU9" s="331">
        <f t="shared" si="62"/>
        <v>-20.757825370675455</v>
      </c>
      <c r="CV9" s="331">
        <f t="shared" si="62"/>
        <v>-20.486111111111114</v>
      </c>
      <c r="CW9" s="324">
        <f t="shared" si="62"/>
        <v>-28.087986463620986</v>
      </c>
      <c r="CX9" s="314">
        <f t="shared" si="62"/>
        <v>-30.073800738007385</v>
      </c>
      <c r="CY9" s="310">
        <f t="shared" si="62"/>
        <v>-27.867015315651845</v>
      </c>
      <c r="CZ9" s="324">
        <f t="shared" si="62"/>
        <v>-24.950495049504951</v>
      </c>
      <c r="DA9" s="324">
        <f t="shared" si="62"/>
        <v>-26.118067978533098</v>
      </c>
      <c r="DB9" s="324">
        <f t="shared" si="62"/>
        <v>-28.260869565217394</v>
      </c>
      <c r="DC9" s="324">
        <f t="shared" si="62"/>
        <v>-27.339449541284399</v>
      </c>
      <c r="DD9" s="324">
        <f t="shared" si="62"/>
        <v>-19.495412844036696</v>
      </c>
      <c r="DE9" s="324">
        <f t="shared" si="62"/>
        <v>-26.915520628683698</v>
      </c>
      <c r="DF9" s="324">
        <f>(DF8/CS8-1)*100</f>
        <v>-22.222222222222221</v>
      </c>
      <c r="DG9" s="324">
        <f>(DG8/CT8-1)*100</f>
        <v>-24.703087885985752</v>
      </c>
      <c r="DH9" s="324">
        <f>(DH8/CT8-1)*100</f>
        <v>-21.852731591448926</v>
      </c>
      <c r="DI9" s="324">
        <f>(DI8/CU8-1)*100</f>
        <v>-31.185031185031185</v>
      </c>
      <c r="DJ9" s="324">
        <f>(DJ8/CV8-1)*100</f>
        <v>-24.235807860262003</v>
      </c>
      <c r="DK9" s="324">
        <f>(DK8/CW8-1)*100</f>
        <v>-20.235294117647062</v>
      </c>
      <c r="DL9" s="310">
        <f t="shared" ref="DL9:EL9" si="63">(DL8/CY8-1)*100</f>
        <v>-24.495080269290526</v>
      </c>
      <c r="DM9" s="324">
        <f t="shared" si="63"/>
        <v>-33.509234828496034</v>
      </c>
      <c r="DN9" s="324">
        <f t="shared" si="63"/>
        <v>-38.498789346246973</v>
      </c>
      <c r="DO9" s="324">
        <f t="shared" si="63"/>
        <v>-41.95804195804196</v>
      </c>
      <c r="DP9" s="324">
        <f t="shared" si="63"/>
        <v>-38.131313131313128</v>
      </c>
      <c r="DQ9" s="324">
        <f t="shared" si="63"/>
        <v>-41.310541310541318</v>
      </c>
      <c r="DR9" s="324">
        <f t="shared" si="63"/>
        <v>-42.204301075268816</v>
      </c>
      <c r="DS9" s="324">
        <f t="shared" si="63"/>
        <v>-42.318059299191383</v>
      </c>
      <c r="DT9" s="324">
        <f t="shared" si="63"/>
        <v>-43.848580441640387</v>
      </c>
      <c r="DU9" s="324">
        <f t="shared" si="63"/>
        <v>-38.60182370820668</v>
      </c>
      <c r="DV9" s="324">
        <f t="shared" si="63"/>
        <v>-32.930513595166168</v>
      </c>
      <c r="DW9" s="324">
        <f t="shared" si="63"/>
        <v>-35.446685878962533</v>
      </c>
      <c r="DX9" s="292">
        <f t="shared" si="63"/>
        <v>-41.887905604719769</v>
      </c>
      <c r="DY9" s="401">
        <f t="shared" si="63"/>
        <v>-39.231824417009598</v>
      </c>
      <c r="DZ9" s="324">
        <f t="shared" si="63"/>
        <v>-26.587301587301592</v>
      </c>
      <c r="EA9" s="324">
        <f t="shared" si="63"/>
        <v>-24.409448818897637</v>
      </c>
      <c r="EB9" s="324">
        <f t="shared" si="63"/>
        <v>-16.465863453815267</v>
      </c>
      <c r="EC9" s="324">
        <f t="shared" si="63"/>
        <v>-31.836734693877556</v>
      </c>
      <c r="ED9" s="324">
        <f t="shared" si="63"/>
        <v>-24.271844660194176</v>
      </c>
      <c r="EE9" s="324">
        <f t="shared" si="63"/>
        <v>-25.581395348837212</v>
      </c>
      <c r="EF9" s="324">
        <f t="shared" si="63"/>
        <v>-26.168224299065422</v>
      </c>
      <c r="EG9" s="324">
        <f t="shared" si="63"/>
        <v>-47.19101123595506</v>
      </c>
      <c r="EH9" s="324">
        <f t="shared" si="63"/>
        <v>-37.623762376237622</v>
      </c>
      <c r="EI9" s="324">
        <f t="shared" si="63"/>
        <v>-37.837837837837839</v>
      </c>
      <c r="EJ9" s="324">
        <f t="shared" si="63"/>
        <v>-48.660714285714292</v>
      </c>
      <c r="EK9" s="324">
        <f t="shared" si="63"/>
        <v>-52.791878172588838</v>
      </c>
      <c r="EL9" s="401">
        <f t="shared" si="63"/>
        <v>-32.580887885628293</v>
      </c>
      <c r="EM9" s="324">
        <f t="shared" ref="EM9:EX9" si="64">(EM8/DZ8-1)*100</f>
        <v>-50.270270270270267</v>
      </c>
      <c r="EN9" s="324">
        <f t="shared" si="64"/>
        <v>-65.625</v>
      </c>
      <c r="EO9" s="324">
        <f t="shared" si="64"/>
        <v>-68.75</v>
      </c>
      <c r="EP9" s="324">
        <f t="shared" si="64"/>
        <v>-70.059880239520965</v>
      </c>
      <c r="EQ9" s="324">
        <f t="shared" si="64"/>
        <v>-73.07692307692308</v>
      </c>
      <c r="ER9" s="324">
        <f t="shared" si="64"/>
        <v>-67.5</v>
      </c>
      <c r="ES9" s="324">
        <f t="shared" si="64"/>
        <v>-68.987341772151893</v>
      </c>
      <c r="ET9" s="324">
        <f t="shared" si="64"/>
        <v>-55.319148936170215</v>
      </c>
      <c r="EU9" s="324">
        <f t="shared" si="64"/>
        <v>-68.253968253968253</v>
      </c>
      <c r="EV9" s="324">
        <f t="shared" si="64"/>
        <v>-63.768115942028977</v>
      </c>
      <c r="EW9" s="324">
        <f t="shared" si="64"/>
        <v>-56.521739130434788</v>
      </c>
      <c r="EX9" s="324">
        <f t="shared" si="64"/>
        <v>-43.01075268817204</v>
      </c>
      <c r="EY9" s="401">
        <f t="shared" ref="EY9:FX9" si="65">(EY8/EL8-1)*100</f>
        <v>-63.671875</v>
      </c>
      <c r="EZ9" s="324">
        <f t="shared" si="65"/>
        <v>-36.95652173913043</v>
      </c>
      <c r="FA9" s="324">
        <f t="shared" si="65"/>
        <v>-24.242424242424242</v>
      </c>
      <c r="FB9" s="324">
        <f t="shared" si="65"/>
        <v>4.6153846153846212</v>
      </c>
      <c r="FC9" s="324">
        <f t="shared" si="65"/>
        <v>166</v>
      </c>
      <c r="FD9" s="324">
        <f t="shared" si="65"/>
        <v>259.52380952380952</v>
      </c>
      <c r="FE9" s="324">
        <f t="shared" si="65"/>
        <v>198.07692307692309</v>
      </c>
      <c r="FF9" s="324">
        <f t="shared" si="65"/>
        <v>275.51020408163265</v>
      </c>
      <c r="FG9" s="324">
        <f t="shared" si="65"/>
        <v>235.71428571428572</v>
      </c>
      <c r="FH9" s="324">
        <f t="shared" si="65"/>
        <v>275</v>
      </c>
      <c r="FI9" s="324">
        <f t="shared" si="65"/>
        <v>258</v>
      </c>
      <c r="FJ9" s="324">
        <f t="shared" si="65"/>
        <v>246</v>
      </c>
      <c r="FK9" s="324">
        <f t="shared" si="65"/>
        <v>245.28301886792451</v>
      </c>
      <c r="FL9" s="401">
        <f t="shared" si="65"/>
        <v>149.61597542242703</v>
      </c>
      <c r="FM9" s="324">
        <f t="shared" si="65"/>
        <v>196.55172413793105</v>
      </c>
      <c r="FN9" s="324">
        <f t="shared" si="65"/>
        <v>268</v>
      </c>
      <c r="FO9" s="324">
        <f t="shared" si="65"/>
        <v>185.29411764705884</v>
      </c>
      <c r="FP9" s="324">
        <f t="shared" si="65"/>
        <v>31.578947368421062</v>
      </c>
      <c r="FQ9" s="324">
        <f t="shared" si="65"/>
        <v>-4.635761589403975</v>
      </c>
      <c r="FR9" s="324">
        <f t="shared" si="65"/>
        <v>1.9354838709677358</v>
      </c>
      <c r="FS9" s="324">
        <f t="shared" si="65"/>
        <v>-8.1521739130434803</v>
      </c>
      <c r="FT9" s="324">
        <f t="shared" si="65"/>
        <v>12.765957446808507</v>
      </c>
      <c r="FU9" s="324">
        <f t="shared" si="65"/>
        <v>6.0000000000000053</v>
      </c>
      <c r="FV9" s="324">
        <f t="shared" si="65"/>
        <v>-6.1452513966480442</v>
      </c>
      <c r="FW9" s="324">
        <f t="shared" si="65"/>
        <v>-9.2485549132947931</v>
      </c>
      <c r="FX9" s="324">
        <f t="shared" si="65"/>
        <v>-9.2896174863387966</v>
      </c>
      <c r="FY9" s="401">
        <f t="shared" ref="FY9:HY9" si="66">(FY8/FL8-1)*100</f>
        <v>23.38461538461538</v>
      </c>
      <c r="FZ9" s="324">
        <f t="shared" si="66"/>
        <v>4.0697674418604723</v>
      </c>
      <c r="GA9" s="324">
        <f t="shared" si="66"/>
        <v>-11.413043478260864</v>
      </c>
      <c r="GB9" s="324">
        <f t="shared" si="66"/>
        <v>-10.309278350515461</v>
      </c>
      <c r="GC9" s="324">
        <f t="shared" si="66"/>
        <v>-9.1428571428571423</v>
      </c>
      <c r="GD9" s="324">
        <f t="shared" si="66"/>
        <v>18.055555555555557</v>
      </c>
      <c r="GE9" s="324">
        <f t="shared" si="66"/>
        <v>-6.9620253164556996</v>
      </c>
      <c r="GF9" s="324">
        <f t="shared" si="66"/>
        <v>-2.9585798816568087</v>
      </c>
      <c r="GG9" s="324">
        <f t="shared" si="66"/>
        <v>-19.496855345911946</v>
      </c>
      <c r="GH9" s="324">
        <f t="shared" si="66"/>
        <v>-25.157232704402521</v>
      </c>
      <c r="GI9" s="324">
        <f t="shared" si="66"/>
        <v>-22.619047619047617</v>
      </c>
      <c r="GJ9" s="324">
        <f t="shared" si="66"/>
        <v>-17.197452229299358</v>
      </c>
      <c r="GK9" s="324">
        <f t="shared" si="66"/>
        <v>-39.75903614457831</v>
      </c>
      <c r="GL9" s="401">
        <f t="shared" si="66"/>
        <v>-12.069825436408976</v>
      </c>
      <c r="GM9" s="324">
        <f t="shared" si="66"/>
        <v>-38.547486033519554</v>
      </c>
      <c r="GN9" s="324">
        <f t="shared" si="66"/>
        <v>-29.447852760736193</v>
      </c>
      <c r="GO9" s="324">
        <f t="shared" si="66"/>
        <v>-27.586206896551722</v>
      </c>
      <c r="GP9" s="324">
        <f t="shared" si="66"/>
        <v>-17.610062893081757</v>
      </c>
      <c r="GQ9" s="324">
        <f t="shared" si="66"/>
        <v>-24.117647058823533</v>
      </c>
      <c r="GR9" s="324">
        <f t="shared" si="66"/>
        <v>-25.653061224489793</v>
      </c>
      <c r="GS9" s="324">
        <f t="shared" si="66"/>
        <v>-32.719512195121951</v>
      </c>
      <c r="GT9" s="324">
        <f t="shared" si="66"/>
        <v>-13.289062500000004</v>
      </c>
      <c r="GU9" s="324">
        <f t="shared" si="66"/>
        <v>11.033613445378144</v>
      </c>
      <c r="GV9" s="324">
        <f t="shared" si="66"/>
        <v>8.0384615384615277</v>
      </c>
      <c r="GW9" s="324">
        <f t="shared" si="66"/>
        <v>-10.607692307692307</v>
      </c>
      <c r="GX9" s="324">
        <f t="shared" si="66"/>
        <v>1.330000000000009</v>
      </c>
      <c r="GY9" s="401">
        <f t="shared" si="66"/>
        <v>-18.789563244469655</v>
      </c>
      <c r="GZ9" s="324">
        <f t="shared" si="66"/>
        <v>-2.7272727272727226</v>
      </c>
      <c r="HA9" s="324">
        <f t="shared" si="66"/>
        <v>-11.739130434782608</v>
      </c>
      <c r="HB9" s="324">
        <f t="shared" si="66"/>
        <v>-12.380952380952381</v>
      </c>
      <c r="HC9" s="324">
        <f t="shared" si="66"/>
        <v>-30.76335877862595</v>
      </c>
      <c r="HD9" s="324">
        <f t="shared" si="66"/>
        <v>-20.077519379844965</v>
      </c>
      <c r="HE9" s="324">
        <f t="shared" si="66"/>
        <v>-12.041357855247515</v>
      </c>
      <c r="HF9" s="324">
        <f t="shared" si="66"/>
        <v>-1.8307050933478397</v>
      </c>
      <c r="HG9" s="324">
        <f t="shared" si="66"/>
        <v>-32.552482205604107</v>
      </c>
      <c r="HH9" s="324">
        <f t="shared" si="66"/>
        <v>-21.932944827064247</v>
      </c>
      <c r="HI9" s="324">
        <f t="shared" si="66"/>
        <v>-15.557137771448915</v>
      </c>
      <c r="HJ9" s="324">
        <f t="shared" si="66"/>
        <v>-5.9633422252818207</v>
      </c>
      <c r="HK9" s="324">
        <f t="shared" si="66"/>
        <v>-2.792855028125929</v>
      </c>
      <c r="HL9" s="401">
        <f t="shared" si="66"/>
        <v>-14.681436573679585</v>
      </c>
      <c r="HM9" s="324">
        <f t="shared" si="66"/>
        <v>-12.598130841121502</v>
      </c>
      <c r="HN9" s="324">
        <f t="shared" si="66"/>
        <v>-4.5615763546797972</v>
      </c>
      <c r="HO9" s="324">
        <f t="shared" si="66"/>
        <v>1.0144927536231751</v>
      </c>
      <c r="HP9" s="324">
        <f t="shared" si="66"/>
        <v>8.8202866593164231</v>
      </c>
      <c r="HQ9" s="292">
        <f t="shared" si="66"/>
        <v>-19.107662463627541</v>
      </c>
      <c r="HR9" s="440">
        <f t="shared" si="66"/>
        <v>-4.2962654738375017</v>
      </c>
      <c r="HS9" s="446">
        <f t="shared" si="66"/>
        <v>-12.943131462333824</v>
      </c>
      <c r="HT9" s="446">
        <f t="shared" si="66"/>
        <v>-0.93507881378573909</v>
      </c>
      <c r="HU9" s="446">
        <f t="shared" si="66"/>
        <v>-20.067862336403298</v>
      </c>
      <c r="HV9" s="446">
        <f t="shared" si="66"/>
        <v>-22.866779089376045</v>
      </c>
      <c r="HW9" s="446">
        <f t="shared" si="66"/>
        <v>-31.19509516837482</v>
      </c>
      <c r="HX9" s="446">
        <f t="shared" si="66"/>
        <v>-21.329949238578681</v>
      </c>
      <c r="HY9" s="480">
        <f t="shared" si="66"/>
        <v>-12.317238895165127</v>
      </c>
      <c r="HZ9" s="446">
        <f>(71/94-1)*100</f>
        <v>-24.468085106382976</v>
      </c>
      <c r="IA9" s="446">
        <f>(52/97-1)*100</f>
        <v>-46.391752577319586</v>
      </c>
      <c r="IB9" s="446">
        <f>(88/HO8-1)*100</f>
        <v>-21.090387374461972</v>
      </c>
      <c r="IC9" s="446">
        <f>(92/HP8-1)*100</f>
        <v>-6.7882472137791305</v>
      </c>
      <c r="ID9" s="446">
        <f>(81/HQ8-1)*100</f>
        <v>-2.877697841726623</v>
      </c>
      <c r="IE9" s="446">
        <f>(78/HR8-1)*100</f>
        <v>-15.217391304347828</v>
      </c>
      <c r="IF9" s="446">
        <f>(71/HS8-1)*100</f>
        <v>-24.708377518557789</v>
      </c>
      <c r="IG9" s="446">
        <f>(72/HT8-1)*100</f>
        <v>-2.9126213592232997</v>
      </c>
      <c r="IH9" s="446">
        <f>(74/HU8-1)*100</f>
        <v>-10.24863553668891</v>
      </c>
      <c r="II9" s="446">
        <f>(88/HV8-1)*100</f>
        <v>-3.8041101880192385</v>
      </c>
      <c r="IJ9" s="446">
        <f>(94/HW8-1)*100</f>
        <v>25.016624551137113</v>
      </c>
      <c r="IK9" s="446">
        <f>(82/HX8-1)*100</f>
        <v>5.8201058201058364</v>
      </c>
      <c r="IL9" s="478">
        <f>(945/HY8-1)*100</f>
        <v>-11.771296261717135</v>
      </c>
      <c r="IM9" s="446">
        <f>(IM8/HZ8-1)*100</f>
        <v>-1.9470514077601919</v>
      </c>
      <c r="IN9" s="506">
        <f t="shared" ref="IN9:IX9" si="67">(IN8/IA8-1)*100</f>
        <v>52.613506295307118</v>
      </c>
      <c r="IO9" s="506">
        <f t="shared" si="67"/>
        <v>38.087153367289204</v>
      </c>
      <c r="IP9" s="506">
        <f t="shared" si="67"/>
        <v>-21.866521975040698</v>
      </c>
      <c r="IQ9" s="506">
        <f t="shared" si="67"/>
        <v>4.0118870728083067</v>
      </c>
      <c r="IR9" s="506">
        <f t="shared" si="67"/>
        <v>11.12530335930515</v>
      </c>
      <c r="IS9" s="506">
        <f t="shared" si="67"/>
        <v>5.604055195719515</v>
      </c>
      <c r="IT9" s="506">
        <f t="shared" si="67"/>
        <v>-5.555555555555558</v>
      </c>
      <c r="IU9" s="506">
        <f t="shared" si="67"/>
        <v>14.926987560843695</v>
      </c>
      <c r="IV9" s="506">
        <f t="shared" si="67"/>
        <v>-7.9126875852660428</v>
      </c>
      <c r="IW9" s="506">
        <f t="shared" si="67"/>
        <v>0.74231177094379319</v>
      </c>
      <c r="IX9" s="506">
        <f t="shared" si="67"/>
        <v>-7.3735527117611221</v>
      </c>
      <c r="IY9" s="478">
        <f>(IY8/IL8-1)*100</f>
        <v>5.3300164081935053</v>
      </c>
      <c r="IZ9" s="506">
        <f t="shared" ref="IZ9:JE9" si="68">(IZ8/IM8-1)*100</f>
        <v>11.428571428571432</v>
      </c>
      <c r="JA9" s="506">
        <f t="shared" si="68"/>
        <v>0</v>
      </c>
      <c r="JB9" s="506">
        <f t="shared" si="68"/>
        <v>-45.901639344262293</v>
      </c>
      <c r="JC9" s="506">
        <f t="shared" si="68"/>
        <v>13.888888888888884</v>
      </c>
      <c r="JD9" s="506">
        <f t="shared" si="68"/>
        <v>-4.7619047619047672</v>
      </c>
      <c r="JE9" s="506">
        <f t="shared" si="68"/>
        <v>6.8965517241379226</v>
      </c>
      <c r="JF9" s="506">
        <f>(JF8/75-1)*100</f>
        <v>33.333333333333329</v>
      </c>
      <c r="JG9" s="506">
        <f>(JG8/68-1)*100</f>
        <v>30.882352941176471</v>
      </c>
      <c r="JH9" s="506">
        <f t="shared" ref="JH9:JK9" si="69">(JH8/IU8-1)*100</f>
        <v>30.588235294117649</v>
      </c>
      <c r="JI9" s="506">
        <f t="shared" si="69"/>
        <v>28.395061728395056</v>
      </c>
      <c r="JJ9" s="506">
        <f t="shared" si="69"/>
        <v>-2.1052631578947323</v>
      </c>
      <c r="JK9" s="506">
        <f t="shared" si="69"/>
        <v>21.328947368421037</v>
      </c>
      <c r="JL9" s="531">
        <f>(JL8/995-1)*100</f>
        <v>7.3366834170854212</v>
      </c>
      <c r="JM9" s="506">
        <f t="shared" si="29"/>
        <v>7.6923076923076872</v>
      </c>
      <c r="JN9" s="572">
        <f t="shared" si="29"/>
        <v>2.4999999999999911</v>
      </c>
    </row>
    <row r="10" spans="1:292" x14ac:dyDescent="0.15">
      <c r="A10" s="554"/>
      <c r="B10" s="15" t="s">
        <v>35</v>
      </c>
      <c r="C10" s="27">
        <v>376</v>
      </c>
      <c r="D10" s="28">
        <v>471</v>
      </c>
      <c r="E10" s="29">
        <v>427</v>
      </c>
      <c r="F10" s="28">
        <v>334</v>
      </c>
      <c r="G10" s="29">
        <v>287</v>
      </c>
      <c r="H10" s="28">
        <v>429</v>
      </c>
      <c r="I10" s="29">
        <v>248</v>
      </c>
      <c r="J10" s="28">
        <v>255</v>
      </c>
      <c r="K10" s="29">
        <v>245</v>
      </c>
      <c r="L10" s="28">
        <v>178</v>
      </c>
      <c r="M10" s="133">
        <v>156</v>
      </c>
      <c r="N10" s="25">
        <f>SUM(AA10:AL10)</f>
        <v>204</v>
      </c>
      <c r="O10" s="29">
        <v>12</v>
      </c>
      <c r="P10" s="28">
        <v>12</v>
      </c>
      <c r="Q10" s="28">
        <v>13</v>
      </c>
      <c r="R10" s="28">
        <v>12</v>
      </c>
      <c r="S10" s="28">
        <v>11</v>
      </c>
      <c r="T10" s="28">
        <v>12</v>
      </c>
      <c r="U10" s="28">
        <v>13</v>
      </c>
      <c r="V10" s="28">
        <v>12</v>
      </c>
      <c r="W10" s="28">
        <v>14</v>
      </c>
      <c r="X10" s="28">
        <v>15</v>
      </c>
      <c r="Y10" s="28">
        <v>15</v>
      </c>
      <c r="Z10" s="28">
        <v>15</v>
      </c>
      <c r="AA10" s="29">
        <v>16</v>
      </c>
      <c r="AB10" s="28">
        <v>17</v>
      </c>
      <c r="AC10" s="29">
        <v>16</v>
      </c>
      <c r="AD10" s="28">
        <v>16</v>
      </c>
      <c r="AE10" s="29">
        <v>15</v>
      </c>
      <c r="AF10" s="28">
        <v>17</v>
      </c>
      <c r="AG10" s="29">
        <v>17</v>
      </c>
      <c r="AH10" s="28">
        <v>15</v>
      </c>
      <c r="AI10" s="29">
        <v>18</v>
      </c>
      <c r="AJ10" s="28">
        <v>19</v>
      </c>
      <c r="AK10" s="29">
        <v>19</v>
      </c>
      <c r="AL10" s="28">
        <v>19</v>
      </c>
      <c r="AM10" s="23">
        <f>SUM(AN10:AY10)</f>
        <v>201</v>
      </c>
      <c r="AN10" s="118">
        <v>17</v>
      </c>
      <c r="AO10" s="28">
        <v>19</v>
      </c>
      <c r="AP10" s="88">
        <v>19</v>
      </c>
      <c r="AQ10" s="29">
        <v>18</v>
      </c>
      <c r="AR10" s="29">
        <v>16</v>
      </c>
      <c r="AS10" s="28">
        <v>17</v>
      </c>
      <c r="AT10" s="29">
        <v>16</v>
      </c>
      <c r="AU10" s="28">
        <v>15</v>
      </c>
      <c r="AV10" s="29">
        <v>17</v>
      </c>
      <c r="AW10" s="28">
        <v>17</v>
      </c>
      <c r="AX10" s="29">
        <v>16</v>
      </c>
      <c r="AY10" s="28">
        <v>14</v>
      </c>
      <c r="AZ10" s="104">
        <f>SUM(BA10:BL10)</f>
        <v>207</v>
      </c>
      <c r="BA10" s="21">
        <v>13</v>
      </c>
      <c r="BB10" s="23">
        <v>14</v>
      </c>
      <c r="BC10" s="23">
        <v>14</v>
      </c>
      <c r="BD10" s="23">
        <v>15</v>
      </c>
      <c r="BE10" s="23">
        <v>15</v>
      </c>
      <c r="BF10" s="23">
        <v>19</v>
      </c>
      <c r="BG10" s="23">
        <v>20</v>
      </c>
      <c r="BH10" s="23">
        <v>16</v>
      </c>
      <c r="BI10" s="23">
        <v>19</v>
      </c>
      <c r="BJ10" s="23">
        <v>21</v>
      </c>
      <c r="BK10" s="23">
        <v>19</v>
      </c>
      <c r="BL10" s="23">
        <v>22</v>
      </c>
      <c r="BM10" s="23">
        <v>20</v>
      </c>
      <c r="BN10" s="23">
        <v>21</v>
      </c>
      <c r="BO10" s="23">
        <v>21</v>
      </c>
      <c r="BP10" s="23">
        <v>22</v>
      </c>
      <c r="BQ10" s="23">
        <v>21</v>
      </c>
      <c r="BR10" s="23">
        <v>23</v>
      </c>
      <c r="BS10" s="23">
        <v>24</v>
      </c>
      <c r="BT10" s="23">
        <v>22</v>
      </c>
      <c r="BU10" s="23">
        <v>23</v>
      </c>
      <c r="BV10" s="23">
        <v>24</v>
      </c>
      <c r="BW10" s="23">
        <v>23</v>
      </c>
      <c r="BX10" s="23">
        <v>25</v>
      </c>
      <c r="BY10" s="104">
        <f>SUM(BM10:BX10)</f>
        <v>269</v>
      </c>
      <c r="BZ10" s="117">
        <v>22</v>
      </c>
      <c r="CA10" s="23">
        <v>23</v>
      </c>
      <c r="CB10" s="23">
        <v>24</v>
      </c>
      <c r="CC10" s="23">
        <v>22</v>
      </c>
      <c r="CD10" s="19">
        <v>21</v>
      </c>
      <c r="CE10" s="154">
        <v>19</v>
      </c>
      <c r="CF10" s="154">
        <v>24</v>
      </c>
      <c r="CG10" s="154">
        <v>22</v>
      </c>
      <c r="CH10" s="154">
        <v>25</v>
      </c>
      <c r="CI10" s="154">
        <v>21</v>
      </c>
      <c r="CJ10" s="19">
        <v>23</v>
      </c>
      <c r="CK10" s="15">
        <v>21</v>
      </c>
      <c r="CL10" s="311">
        <f>SUM(BZ10:CK10)</f>
        <v>267</v>
      </c>
      <c r="CM10" s="293">
        <v>19</v>
      </c>
      <c r="CN10" s="294">
        <v>21</v>
      </c>
      <c r="CO10" s="294">
        <v>23</v>
      </c>
      <c r="CP10" s="325">
        <v>24</v>
      </c>
      <c r="CQ10" s="332">
        <v>20</v>
      </c>
      <c r="CR10" s="332">
        <v>24</v>
      </c>
      <c r="CS10" s="332">
        <v>23</v>
      </c>
      <c r="CT10" s="332">
        <v>21</v>
      </c>
      <c r="CU10" s="332">
        <v>24</v>
      </c>
      <c r="CV10" s="332">
        <v>24</v>
      </c>
      <c r="CW10" s="325">
        <v>21</v>
      </c>
      <c r="CX10" s="315">
        <v>20</v>
      </c>
      <c r="CY10" s="311">
        <f>SUM(CM10:CX10)</f>
        <v>264</v>
      </c>
      <c r="CZ10" s="325">
        <v>18</v>
      </c>
      <c r="DA10" s="325">
        <v>24</v>
      </c>
      <c r="DB10" s="325">
        <v>24</v>
      </c>
      <c r="DC10" s="325">
        <v>21</v>
      </c>
      <c r="DD10" s="325">
        <v>21</v>
      </c>
      <c r="DE10" s="325">
        <v>22</v>
      </c>
      <c r="DF10" s="325">
        <v>23</v>
      </c>
      <c r="DG10" s="325">
        <v>21</v>
      </c>
      <c r="DH10" s="325">
        <v>21</v>
      </c>
      <c r="DI10" s="325">
        <v>20</v>
      </c>
      <c r="DJ10" s="325">
        <v>20</v>
      </c>
      <c r="DK10" s="325">
        <v>19</v>
      </c>
      <c r="DL10" s="311">
        <f>SUM(CZ10:DK10)</f>
        <v>254</v>
      </c>
      <c r="DM10" s="325">
        <v>14</v>
      </c>
      <c r="DN10" s="325">
        <v>13</v>
      </c>
      <c r="DO10" s="325">
        <v>13</v>
      </c>
      <c r="DP10" s="325">
        <v>13</v>
      </c>
      <c r="DQ10" s="325">
        <v>12</v>
      </c>
      <c r="DR10" s="325">
        <v>13</v>
      </c>
      <c r="DS10" s="325">
        <v>12</v>
      </c>
      <c r="DT10" s="325">
        <v>11</v>
      </c>
      <c r="DU10" s="325">
        <v>12</v>
      </c>
      <c r="DV10" s="325">
        <v>13</v>
      </c>
      <c r="DW10" s="325">
        <v>15</v>
      </c>
      <c r="DX10" s="294">
        <v>14</v>
      </c>
      <c r="DY10" s="402">
        <f>SUM(DM10:DX10)</f>
        <v>155</v>
      </c>
      <c r="DZ10" s="325">
        <v>14</v>
      </c>
      <c r="EA10" s="325">
        <v>15</v>
      </c>
      <c r="EB10" s="325">
        <v>16</v>
      </c>
      <c r="EC10" s="325">
        <v>14</v>
      </c>
      <c r="ED10" s="325">
        <v>14</v>
      </c>
      <c r="EE10" s="325">
        <v>16</v>
      </c>
      <c r="EF10" s="325">
        <v>16</v>
      </c>
      <c r="EG10" s="325">
        <v>10</v>
      </c>
      <c r="EH10" s="325">
        <v>13</v>
      </c>
      <c r="EI10" s="325">
        <v>11</v>
      </c>
      <c r="EJ10" s="325">
        <v>7</v>
      </c>
      <c r="EK10" s="325">
        <v>5</v>
      </c>
      <c r="EL10" s="402">
        <f>SUM(DZ10:EK10)</f>
        <v>151</v>
      </c>
      <c r="EM10" s="325">
        <v>4</v>
      </c>
      <c r="EN10" s="325">
        <v>3</v>
      </c>
      <c r="EO10" s="325">
        <v>3</v>
      </c>
      <c r="EP10" s="325">
        <v>1.986</v>
      </c>
      <c r="EQ10" s="325">
        <v>1.728</v>
      </c>
      <c r="ER10" s="325">
        <v>2.1779999999999999</v>
      </c>
      <c r="ES10" s="325">
        <v>2.2080000000000002</v>
      </c>
      <c r="ET10" s="325">
        <v>1.964</v>
      </c>
      <c r="EU10" s="325">
        <v>1.8819999999999999</v>
      </c>
      <c r="EV10" s="325">
        <v>2.4289999999999998</v>
      </c>
      <c r="EW10" s="325">
        <v>2.472</v>
      </c>
      <c r="EX10" s="325">
        <v>2.278</v>
      </c>
      <c r="EY10" s="402">
        <f>SUM(EM10:EX10)</f>
        <v>29.125</v>
      </c>
      <c r="EZ10" s="325">
        <v>3.0270000000000001</v>
      </c>
      <c r="FA10" s="325">
        <v>2.6949999999999998</v>
      </c>
      <c r="FB10" s="325">
        <v>3.7469999999999999</v>
      </c>
      <c r="FC10" s="325">
        <v>7.88</v>
      </c>
      <c r="FD10" s="325">
        <v>9.3480000000000008</v>
      </c>
      <c r="FE10" s="325">
        <v>9.3130000000000006</v>
      </c>
      <c r="FF10" s="325">
        <v>10.759</v>
      </c>
      <c r="FG10" s="325">
        <v>7.9349999999999996</v>
      </c>
      <c r="FH10" s="325">
        <v>8.0299999999999994</v>
      </c>
      <c r="FI10" s="325">
        <v>9.4990000000000006</v>
      </c>
      <c r="FJ10" s="325">
        <v>9.3789999999999996</v>
      </c>
      <c r="FK10" s="325">
        <v>9.9139999999999997</v>
      </c>
      <c r="FL10" s="402">
        <f>SUM(EZ10:FK10)</f>
        <v>91.52600000000001</v>
      </c>
      <c r="FM10" s="325">
        <v>10.645</v>
      </c>
      <c r="FN10" s="325">
        <v>11.763</v>
      </c>
      <c r="FO10" s="325">
        <v>13.773999999999999</v>
      </c>
      <c r="FP10" s="325">
        <v>13.659000000000001</v>
      </c>
      <c r="FQ10" s="325">
        <v>10.968999999999999</v>
      </c>
      <c r="FR10" s="325">
        <v>12.077</v>
      </c>
      <c r="FS10" s="325">
        <v>11.941000000000001</v>
      </c>
      <c r="FT10" s="325">
        <v>10.88</v>
      </c>
      <c r="FU10" s="325">
        <v>10.353999999999999</v>
      </c>
      <c r="FV10" s="325">
        <v>10.728</v>
      </c>
      <c r="FW10" s="325">
        <v>10.162000000000001</v>
      </c>
      <c r="FX10" s="325">
        <v>11.137</v>
      </c>
      <c r="FY10" s="402">
        <f>SUM(FM10:FX10)</f>
        <v>138.089</v>
      </c>
      <c r="FZ10" s="325">
        <v>12.27</v>
      </c>
      <c r="GA10" s="325">
        <v>11.587999999999999</v>
      </c>
      <c r="GB10" s="325">
        <v>13.192</v>
      </c>
      <c r="GC10" s="325">
        <v>12.505000000000001</v>
      </c>
      <c r="GD10" s="325">
        <v>12.814</v>
      </c>
      <c r="GE10" s="325">
        <v>10.234</v>
      </c>
      <c r="GF10" s="325">
        <v>10.648999999999999</v>
      </c>
      <c r="GG10" s="325">
        <v>8.4529999999999994</v>
      </c>
      <c r="GH10" s="325">
        <v>8.2989999999999995</v>
      </c>
      <c r="GI10" s="325">
        <v>8.9290000000000003</v>
      </c>
      <c r="GJ10" s="325">
        <v>8.8840000000000003</v>
      </c>
      <c r="GK10" s="325">
        <v>6.9119999999999999</v>
      </c>
      <c r="GL10" s="402">
        <f>SUM(FZ10:GK10)</f>
        <v>124.729</v>
      </c>
      <c r="GM10" s="325">
        <v>8.0709999999999997</v>
      </c>
      <c r="GN10" s="325">
        <v>8.7880000000000003</v>
      </c>
      <c r="GO10" s="325">
        <v>9.9559999999999995</v>
      </c>
      <c r="GP10" s="325">
        <v>10.311999999999999</v>
      </c>
      <c r="GQ10" s="325">
        <v>9.6579999999999995</v>
      </c>
      <c r="GR10" s="325">
        <v>8.1989999999999998</v>
      </c>
      <c r="GS10" s="325">
        <v>8.2409999999999997</v>
      </c>
      <c r="GT10" s="325">
        <v>8.4329999999999998</v>
      </c>
      <c r="GU10" s="325">
        <v>10.135999999999999</v>
      </c>
      <c r="GV10" s="325">
        <v>10.965</v>
      </c>
      <c r="GW10" s="325">
        <v>9.3239999999999998</v>
      </c>
      <c r="GX10" s="325">
        <v>8.24</v>
      </c>
      <c r="GY10" s="402">
        <f>SUM(GM10:GX10)</f>
        <v>110.32299999999999</v>
      </c>
      <c r="GZ10" s="325">
        <v>8.1999999999999993</v>
      </c>
      <c r="HA10" s="325">
        <v>8.3239999999999998</v>
      </c>
      <c r="HB10" s="325">
        <v>9.0310000000000006</v>
      </c>
      <c r="HC10" s="325">
        <v>7.4480000000000004</v>
      </c>
      <c r="HD10" s="325">
        <v>8.4550000000000001</v>
      </c>
      <c r="HE10" s="325">
        <v>7.9779999999999998</v>
      </c>
      <c r="HF10" s="325">
        <v>9.2189999999999994</v>
      </c>
      <c r="HG10" s="325">
        <v>6.298</v>
      </c>
      <c r="HH10" s="325">
        <v>8.5760000000000005</v>
      </c>
      <c r="HI10" s="325">
        <v>9.4469999999999992</v>
      </c>
      <c r="HJ10" s="325">
        <v>8.8650000000000002</v>
      </c>
      <c r="HK10" s="325">
        <v>6.8170000000000002</v>
      </c>
      <c r="HL10" s="402">
        <f>SUM(GZ10:HK10)</f>
        <v>98.657999999999987</v>
      </c>
      <c r="HM10" s="325">
        <v>5.6760000000000002</v>
      </c>
      <c r="HN10" s="325">
        <v>5.0609999999999999</v>
      </c>
      <c r="HO10" s="325">
        <v>6.1189999999999998</v>
      </c>
      <c r="HP10" s="325">
        <v>5.3520000000000003</v>
      </c>
      <c r="HQ10" s="294">
        <v>4.6619999999999999</v>
      </c>
      <c r="HR10" s="441">
        <v>5.2290000000000001</v>
      </c>
      <c r="HS10" s="447">
        <v>5.2350000000000003</v>
      </c>
      <c r="HT10" s="452">
        <v>3.76</v>
      </c>
      <c r="HU10" s="452">
        <v>3.859</v>
      </c>
      <c r="HV10" s="452">
        <v>4.04</v>
      </c>
      <c r="HW10" s="452">
        <v>3.3130000000000002</v>
      </c>
      <c r="HX10" s="452">
        <v>3.3149999999999999</v>
      </c>
      <c r="HY10" s="481">
        <f>SUM(HM10:HX10)</f>
        <v>55.621000000000002</v>
      </c>
      <c r="HZ10" s="484">
        <v>2770</v>
      </c>
      <c r="IA10" s="484">
        <v>1839</v>
      </c>
      <c r="IB10" s="484">
        <v>2919</v>
      </c>
      <c r="IC10" s="484">
        <v>3241</v>
      </c>
      <c r="ID10" s="484">
        <v>2891</v>
      </c>
      <c r="IE10" s="484">
        <v>3038</v>
      </c>
      <c r="IF10" s="484">
        <v>2792</v>
      </c>
      <c r="IG10" s="484">
        <v>2776</v>
      </c>
      <c r="IH10" s="484">
        <v>2792</v>
      </c>
      <c r="II10" s="484">
        <v>3378</v>
      </c>
      <c r="IJ10" s="484">
        <v>3727</v>
      </c>
      <c r="IK10" s="484">
        <v>3545</v>
      </c>
      <c r="IL10" s="486">
        <f>SUM(HZ10:IK10)</f>
        <v>35708</v>
      </c>
      <c r="IM10" s="484">
        <v>3350</v>
      </c>
      <c r="IN10" s="484">
        <v>3985</v>
      </c>
      <c r="IO10" s="484">
        <v>6242</v>
      </c>
      <c r="IP10" s="484">
        <v>3723</v>
      </c>
      <c r="IQ10" s="484">
        <v>4300</v>
      </c>
      <c r="IR10" s="484">
        <v>4307</v>
      </c>
      <c r="IS10" s="484">
        <v>3715</v>
      </c>
      <c r="IT10" s="484">
        <v>3312</v>
      </c>
      <c r="IU10" s="484">
        <v>4223</v>
      </c>
      <c r="IV10" s="484">
        <v>4219</v>
      </c>
      <c r="IW10" s="484">
        <v>5355</v>
      </c>
      <c r="IX10" s="484">
        <v>4444</v>
      </c>
      <c r="IY10" s="486">
        <f>SUM(IM10:IX10)</f>
        <v>51175</v>
      </c>
      <c r="IZ10" s="484">
        <v>4873</v>
      </c>
      <c r="JA10" s="484">
        <v>4896</v>
      </c>
      <c r="JB10" s="484">
        <v>4095</v>
      </c>
      <c r="JC10" s="484">
        <v>5057</v>
      </c>
      <c r="JD10" s="484">
        <v>5236</v>
      </c>
      <c r="JE10" s="484">
        <v>6301</v>
      </c>
      <c r="JF10" s="520">
        <v>7</v>
      </c>
      <c r="JG10" s="484">
        <v>6008</v>
      </c>
      <c r="JH10" s="484">
        <v>8055</v>
      </c>
      <c r="JI10" s="484">
        <v>7452</v>
      </c>
      <c r="JJ10" s="484">
        <v>6538</v>
      </c>
      <c r="JK10" s="484">
        <v>6089</v>
      </c>
      <c r="JL10" s="529">
        <v>71</v>
      </c>
      <c r="JM10" s="484">
        <v>5200</v>
      </c>
      <c r="JN10" s="573">
        <v>5</v>
      </c>
    </row>
    <row r="11" spans="1:292" ht="14.25" thickBot="1" x14ac:dyDescent="0.2">
      <c r="A11" s="555"/>
      <c r="B11" s="36" t="s">
        <v>77</v>
      </c>
      <c r="C11" s="30"/>
      <c r="D11" s="31">
        <f t="shared" ref="D11:N11" si="70">(D10/C10-1)*100</f>
        <v>25.265957446808507</v>
      </c>
      <c r="E11" s="32">
        <f t="shared" si="70"/>
        <v>-9.3418259023354544</v>
      </c>
      <c r="F11" s="31">
        <f t="shared" si="70"/>
        <v>-21.779859484777518</v>
      </c>
      <c r="G11" s="32">
        <f t="shared" si="70"/>
        <v>-14.071856287425156</v>
      </c>
      <c r="H11" s="31">
        <f t="shared" si="70"/>
        <v>49.4773519163763</v>
      </c>
      <c r="I11" s="32">
        <f t="shared" si="70"/>
        <v>-42.191142191142191</v>
      </c>
      <c r="J11" s="31">
        <f t="shared" si="70"/>
        <v>2.8225806451612989</v>
      </c>
      <c r="K11" s="32">
        <f t="shared" si="70"/>
        <v>-3.9215686274509776</v>
      </c>
      <c r="L11" s="31">
        <f t="shared" si="70"/>
        <v>-27.3469387755102</v>
      </c>
      <c r="M11" s="32">
        <f t="shared" si="70"/>
        <v>-12.35955056179775</v>
      </c>
      <c r="N11" s="32">
        <f t="shared" si="70"/>
        <v>30.76923076923077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2">
        <f t="shared" ref="AA11:AL11" si="71">(AA10/O10-1)*100</f>
        <v>33.333333333333329</v>
      </c>
      <c r="AB11" s="32">
        <f t="shared" si="71"/>
        <v>41.666666666666671</v>
      </c>
      <c r="AC11" s="32">
        <f t="shared" si="71"/>
        <v>23.076923076923084</v>
      </c>
      <c r="AD11" s="32">
        <f t="shared" si="71"/>
        <v>33.333333333333329</v>
      </c>
      <c r="AE11" s="32">
        <f t="shared" si="71"/>
        <v>36.363636363636353</v>
      </c>
      <c r="AF11" s="32">
        <f t="shared" si="71"/>
        <v>41.666666666666671</v>
      </c>
      <c r="AG11" s="32">
        <f t="shared" si="71"/>
        <v>30.76923076923077</v>
      </c>
      <c r="AH11" s="32">
        <f t="shared" si="71"/>
        <v>25</v>
      </c>
      <c r="AI11" s="32">
        <f t="shared" si="71"/>
        <v>28.57142857142858</v>
      </c>
      <c r="AJ11" s="32">
        <f t="shared" si="71"/>
        <v>26.666666666666661</v>
      </c>
      <c r="AK11" s="32">
        <f t="shared" si="71"/>
        <v>26.666666666666661</v>
      </c>
      <c r="AL11" s="89">
        <f t="shared" si="71"/>
        <v>26.666666666666661</v>
      </c>
      <c r="AM11" s="32">
        <f>(AM10/N10-1)*100</f>
        <v>-1.4705882352941124</v>
      </c>
      <c r="AN11" s="114">
        <f t="shared" ref="AN11:AY11" si="72">(AN10/AA10-1)*100</f>
        <v>6.25</v>
      </c>
      <c r="AO11" s="32">
        <f t="shared" si="72"/>
        <v>11.764705882352944</v>
      </c>
      <c r="AP11" s="89">
        <f t="shared" si="72"/>
        <v>18.75</v>
      </c>
      <c r="AQ11" s="32">
        <f t="shared" si="72"/>
        <v>12.5</v>
      </c>
      <c r="AR11" s="32">
        <f t="shared" si="72"/>
        <v>6.6666666666666652</v>
      </c>
      <c r="AS11" s="31">
        <f t="shared" si="72"/>
        <v>0</v>
      </c>
      <c r="AT11" s="32">
        <f t="shared" si="72"/>
        <v>-5.8823529411764719</v>
      </c>
      <c r="AU11" s="31">
        <f t="shared" si="72"/>
        <v>0</v>
      </c>
      <c r="AV11" s="32">
        <f t="shared" si="72"/>
        <v>-5.555555555555558</v>
      </c>
      <c r="AW11" s="31">
        <f t="shared" si="72"/>
        <v>-10.526315789473683</v>
      </c>
      <c r="AX11" s="32">
        <f t="shared" si="72"/>
        <v>-15.789473684210531</v>
      </c>
      <c r="AY11" s="31">
        <f t="shared" si="72"/>
        <v>-26.315789473684216</v>
      </c>
      <c r="AZ11" s="107">
        <f t="shared" ref="AZ11:BL11" si="73">(AZ10/AM10-1)*100</f>
        <v>2.9850746268656803</v>
      </c>
      <c r="BA11" s="125">
        <f t="shared" si="73"/>
        <v>-23.529411764705888</v>
      </c>
      <c r="BB11" s="108">
        <f t="shared" si="73"/>
        <v>-26.315789473684216</v>
      </c>
      <c r="BC11" s="108">
        <f t="shared" si="73"/>
        <v>-26.315789473684216</v>
      </c>
      <c r="BD11" s="108">
        <f t="shared" si="73"/>
        <v>-16.666666666666664</v>
      </c>
      <c r="BE11" s="108">
        <f t="shared" si="73"/>
        <v>-6.25</v>
      </c>
      <c r="BF11" s="108">
        <f t="shared" si="73"/>
        <v>11.764705882352944</v>
      </c>
      <c r="BG11" s="108">
        <f t="shared" si="73"/>
        <v>25</v>
      </c>
      <c r="BH11" s="108">
        <f t="shared" si="73"/>
        <v>6.6666666666666652</v>
      </c>
      <c r="BI11" s="108">
        <f t="shared" si="73"/>
        <v>11.764705882352944</v>
      </c>
      <c r="BJ11" s="108">
        <f t="shared" si="73"/>
        <v>23.529411764705888</v>
      </c>
      <c r="BK11" s="108">
        <f t="shared" si="73"/>
        <v>18.75</v>
      </c>
      <c r="BL11" s="108">
        <f t="shared" si="73"/>
        <v>57.142857142857139</v>
      </c>
      <c r="BM11" s="108">
        <f t="shared" ref="BM11:BX11" si="74">(BM10/BA10-1)*100</f>
        <v>53.846153846153854</v>
      </c>
      <c r="BN11" s="108">
        <f t="shared" si="74"/>
        <v>50</v>
      </c>
      <c r="BO11" s="108">
        <f t="shared" si="74"/>
        <v>50</v>
      </c>
      <c r="BP11" s="108">
        <f t="shared" si="74"/>
        <v>46.666666666666657</v>
      </c>
      <c r="BQ11" s="108">
        <f t="shared" si="74"/>
        <v>39.999999999999993</v>
      </c>
      <c r="BR11" s="108">
        <f t="shared" si="74"/>
        <v>21.052631578947366</v>
      </c>
      <c r="BS11" s="108">
        <f t="shared" si="74"/>
        <v>19.999999999999996</v>
      </c>
      <c r="BT11" s="108">
        <f t="shared" si="74"/>
        <v>37.5</v>
      </c>
      <c r="BU11" s="108">
        <f t="shared" si="74"/>
        <v>21.052631578947366</v>
      </c>
      <c r="BV11" s="108">
        <f t="shared" si="74"/>
        <v>14.285714285714279</v>
      </c>
      <c r="BW11" s="108">
        <f t="shared" si="74"/>
        <v>21.052631578947366</v>
      </c>
      <c r="BX11" s="108">
        <f t="shared" si="74"/>
        <v>13.636363636363647</v>
      </c>
      <c r="BY11" s="106">
        <f>(BY10/AZ10-1)*100</f>
        <v>29.951690821256037</v>
      </c>
      <c r="BZ11" s="116">
        <f t="shared" ref="BZ11:DE11" si="75">(BZ10/BM10-1)*100</f>
        <v>10.000000000000009</v>
      </c>
      <c r="CA11" s="18">
        <f t="shared" si="75"/>
        <v>9.5238095238095344</v>
      </c>
      <c r="CB11" s="18">
        <f t="shared" si="75"/>
        <v>14.285714285714279</v>
      </c>
      <c r="CC11" s="18">
        <f t="shared" si="75"/>
        <v>0</v>
      </c>
      <c r="CD11" s="32">
        <f t="shared" si="75"/>
        <v>0</v>
      </c>
      <c r="CE11" s="89">
        <f t="shared" si="75"/>
        <v>-17.391304347826086</v>
      </c>
      <c r="CF11" s="89">
        <f t="shared" si="75"/>
        <v>0</v>
      </c>
      <c r="CG11" s="89">
        <f t="shared" si="75"/>
        <v>0</v>
      </c>
      <c r="CH11" s="89">
        <f t="shared" si="75"/>
        <v>8.6956521739130377</v>
      </c>
      <c r="CI11" s="89">
        <f t="shared" si="75"/>
        <v>-12.5</v>
      </c>
      <c r="CJ11" s="32">
        <f t="shared" si="75"/>
        <v>0</v>
      </c>
      <c r="CK11" s="107">
        <f t="shared" si="75"/>
        <v>-16.000000000000004</v>
      </c>
      <c r="CL11" s="308">
        <f t="shared" si="75"/>
        <v>-0.74349442379182396</v>
      </c>
      <c r="CM11" s="287">
        <f t="shared" si="75"/>
        <v>-13.636363636363635</v>
      </c>
      <c r="CN11" s="288">
        <f t="shared" si="75"/>
        <v>-8.6956521739130483</v>
      </c>
      <c r="CO11" s="288">
        <f t="shared" si="75"/>
        <v>-4.1666666666666625</v>
      </c>
      <c r="CP11" s="326">
        <f t="shared" si="75"/>
        <v>9.0909090909090828</v>
      </c>
      <c r="CQ11" s="333">
        <f t="shared" si="75"/>
        <v>-4.7619047619047672</v>
      </c>
      <c r="CR11" s="333">
        <f t="shared" si="75"/>
        <v>26.315789473684205</v>
      </c>
      <c r="CS11" s="333">
        <f t="shared" si="75"/>
        <v>-4.1666666666666625</v>
      </c>
      <c r="CT11" s="333">
        <f t="shared" si="75"/>
        <v>-4.5454545454545414</v>
      </c>
      <c r="CU11" s="333">
        <f t="shared" si="75"/>
        <v>-4.0000000000000036</v>
      </c>
      <c r="CV11" s="333">
        <f t="shared" si="75"/>
        <v>14.285714285714279</v>
      </c>
      <c r="CW11" s="326">
        <f t="shared" si="75"/>
        <v>-8.6956521739130483</v>
      </c>
      <c r="CX11" s="316">
        <f t="shared" si="75"/>
        <v>-4.7619047619047672</v>
      </c>
      <c r="CY11" s="308">
        <f t="shared" si="75"/>
        <v>-1.1235955056179803</v>
      </c>
      <c r="CZ11" s="326">
        <f t="shared" si="75"/>
        <v>-5.2631578947368478</v>
      </c>
      <c r="DA11" s="326">
        <f t="shared" si="75"/>
        <v>14.285714285714279</v>
      </c>
      <c r="DB11" s="326">
        <f t="shared" si="75"/>
        <v>4.3478260869565188</v>
      </c>
      <c r="DC11" s="326">
        <f t="shared" si="75"/>
        <v>-12.5</v>
      </c>
      <c r="DD11" s="326">
        <f t="shared" si="75"/>
        <v>5.0000000000000044</v>
      </c>
      <c r="DE11" s="326">
        <f t="shared" si="75"/>
        <v>-8.3333333333333375</v>
      </c>
      <c r="DF11" s="326">
        <f>(DF10/CS10-1)*100</f>
        <v>0</v>
      </c>
      <c r="DG11" s="326">
        <f>(DG10/CT10-1)*100</f>
        <v>0</v>
      </c>
      <c r="DH11" s="326">
        <f>(DH10/CT10-1)*100</f>
        <v>0</v>
      </c>
      <c r="DI11" s="326">
        <f>(DI10/CU10-1)*100</f>
        <v>-16.666666666666664</v>
      </c>
      <c r="DJ11" s="326">
        <f>(DJ10/CV10-1)*100</f>
        <v>-16.666666666666664</v>
      </c>
      <c r="DK11" s="326">
        <f>(DK10/CW10-1)*100</f>
        <v>-9.5238095238095237</v>
      </c>
      <c r="DL11" s="308">
        <f t="shared" ref="DL11:EL11" si="76">(DL10/CY10-1)*100</f>
        <v>-3.7878787878787845</v>
      </c>
      <c r="DM11" s="326">
        <f t="shared" si="76"/>
        <v>-22.222222222222221</v>
      </c>
      <c r="DN11" s="326">
        <f t="shared" si="76"/>
        <v>-45.833333333333336</v>
      </c>
      <c r="DO11" s="326">
        <f t="shared" si="76"/>
        <v>-45.833333333333336</v>
      </c>
      <c r="DP11" s="326">
        <f t="shared" si="76"/>
        <v>-38.095238095238095</v>
      </c>
      <c r="DQ11" s="326">
        <f t="shared" si="76"/>
        <v>-42.857142857142861</v>
      </c>
      <c r="DR11" s="326">
        <f t="shared" si="76"/>
        <v>-40.909090909090907</v>
      </c>
      <c r="DS11" s="326">
        <f t="shared" si="76"/>
        <v>-47.826086956521742</v>
      </c>
      <c r="DT11" s="326">
        <f t="shared" si="76"/>
        <v>-47.619047619047613</v>
      </c>
      <c r="DU11" s="326">
        <f t="shared" si="76"/>
        <v>-42.857142857142861</v>
      </c>
      <c r="DV11" s="326">
        <f t="shared" si="76"/>
        <v>-35</v>
      </c>
      <c r="DW11" s="326">
        <f t="shared" si="76"/>
        <v>-25</v>
      </c>
      <c r="DX11" s="288">
        <f t="shared" si="76"/>
        <v>-26.315789473684216</v>
      </c>
      <c r="DY11" s="399">
        <f t="shared" si="76"/>
        <v>-38.976377952755904</v>
      </c>
      <c r="DZ11" s="326">
        <f t="shared" si="76"/>
        <v>0</v>
      </c>
      <c r="EA11" s="326">
        <f t="shared" si="76"/>
        <v>15.384615384615374</v>
      </c>
      <c r="EB11" s="326">
        <f t="shared" si="76"/>
        <v>23.076923076923084</v>
      </c>
      <c r="EC11" s="326">
        <f t="shared" si="76"/>
        <v>7.6923076923076872</v>
      </c>
      <c r="ED11" s="326">
        <f t="shared" si="76"/>
        <v>16.666666666666675</v>
      </c>
      <c r="EE11" s="326">
        <f t="shared" si="76"/>
        <v>23.076923076923084</v>
      </c>
      <c r="EF11" s="326">
        <f t="shared" si="76"/>
        <v>33.333333333333329</v>
      </c>
      <c r="EG11" s="326">
        <f t="shared" si="76"/>
        <v>-9.0909090909090935</v>
      </c>
      <c r="EH11" s="326">
        <f t="shared" si="76"/>
        <v>8.333333333333325</v>
      </c>
      <c r="EI11" s="326">
        <f t="shared" si="76"/>
        <v>-15.384615384615385</v>
      </c>
      <c r="EJ11" s="326">
        <f t="shared" si="76"/>
        <v>-53.333333333333336</v>
      </c>
      <c r="EK11" s="326">
        <f t="shared" si="76"/>
        <v>-64.285714285714278</v>
      </c>
      <c r="EL11" s="399">
        <f t="shared" si="76"/>
        <v>-2.5806451612903181</v>
      </c>
      <c r="EM11" s="326">
        <f t="shared" ref="EM11:EX11" si="77">(EM10/DZ10-1)*100</f>
        <v>-71.428571428571431</v>
      </c>
      <c r="EN11" s="326">
        <f t="shared" si="77"/>
        <v>-80</v>
      </c>
      <c r="EO11" s="326">
        <f t="shared" si="77"/>
        <v>-81.25</v>
      </c>
      <c r="EP11" s="326">
        <f t="shared" si="77"/>
        <v>-85.814285714285717</v>
      </c>
      <c r="EQ11" s="326">
        <f t="shared" si="77"/>
        <v>-87.657142857142858</v>
      </c>
      <c r="ER11" s="326">
        <f t="shared" si="77"/>
        <v>-86.387499999999989</v>
      </c>
      <c r="ES11" s="326">
        <f t="shared" si="77"/>
        <v>-86.2</v>
      </c>
      <c r="ET11" s="326">
        <f t="shared" si="77"/>
        <v>-80.36</v>
      </c>
      <c r="EU11" s="326">
        <f t="shared" si="77"/>
        <v>-85.523076923076928</v>
      </c>
      <c r="EV11" s="326">
        <f t="shared" si="77"/>
        <v>-77.918181818181822</v>
      </c>
      <c r="EW11" s="326">
        <f t="shared" si="77"/>
        <v>-64.685714285714283</v>
      </c>
      <c r="EX11" s="326">
        <f t="shared" si="77"/>
        <v>-54.44</v>
      </c>
      <c r="EY11" s="399">
        <f t="shared" ref="EY11:FX11" si="78">(EY10/EL10-1)*100</f>
        <v>-80.711920529801318</v>
      </c>
      <c r="EZ11" s="326">
        <f t="shared" si="78"/>
        <v>-24.324999999999996</v>
      </c>
      <c r="FA11" s="326">
        <f t="shared" si="78"/>
        <v>-10.166666666666668</v>
      </c>
      <c r="FB11" s="326">
        <f t="shared" si="78"/>
        <v>24.899999999999988</v>
      </c>
      <c r="FC11" s="326">
        <f t="shared" si="78"/>
        <v>296.77744209466266</v>
      </c>
      <c r="FD11" s="326">
        <f t="shared" si="78"/>
        <v>440.97222222222223</v>
      </c>
      <c r="FE11" s="326">
        <f t="shared" si="78"/>
        <v>327.59412304866851</v>
      </c>
      <c r="FF11" s="326">
        <f t="shared" si="78"/>
        <v>387.27355072463769</v>
      </c>
      <c r="FG11" s="326">
        <f t="shared" si="78"/>
        <v>304.0224032586558</v>
      </c>
      <c r="FH11" s="326">
        <f t="shared" si="78"/>
        <v>326.67375132837407</v>
      </c>
      <c r="FI11" s="326">
        <f t="shared" si="78"/>
        <v>291.0662824207493</v>
      </c>
      <c r="FJ11" s="326">
        <f t="shared" si="78"/>
        <v>279.40938511326857</v>
      </c>
      <c r="FK11" s="326">
        <f t="shared" si="78"/>
        <v>335.20632133450397</v>
      </c>
      <c r="FL11" s="399">
        <f t="shared" si="78"/>
        <v>214.25236051502151</v>
      </c>
      <c r="FM11" s="326">
        <f t="shared" si="78"/>
        <v>251.66831846712915</v>
      </c>
      <c r="FN11" s="326">
        <f t="shared" si="78"/>
        <v>336.4749536178108</v>
      </c>
      <c r="FO11" s="326">
        <f t="shared" si="78"/>
        <v>267.60074726447823</v>
      </c>
      <c r="FP11" s="326">
        <f t="shared" si="78"/>
        <v>73.33756345177666</v>
      </c>
      <c r="FQ11" s="326">
        <f t="shared" si="78"/>
        <v>17.340607616602476</v>
      </c>
      <c r="FR11" s="326">
        <f t="shared" si="78"/>
        <v>29.678943412434222</v>
      </c>
      <c r="FS11" s="326">
        <f t="shared" si="78"/>
        <v>10.986151129287114</v>
      </c>
      <c r="FT11" s="326">
        <f t="shared" si="78"/>
        <v>37.114051669817272</v>
      </c>
      <c r="FU11" s="326">
        <f t="shared" si="78"/>
        <v>28.941469489414693</v>
      </c>
      <c r="FV11" s="326">
        <f t="shared" si="78"/>
        <v>12.93820402147594</v>
      </c>
      <c r="FW11" s="326">
        <f t="shared" si="78"/>
        <v>8.348437999786773</v>
      </c>
      <c r="FX11" s="326">
        <f t="shared" si="78"/>
        <v>12.336090377244302</v>
      </c>
      <c r="FY11" s="399">
        <f t="shared" ref="FY11:HD11" si="79">(FY10/FL10-1)*100</f>
        <v>50.874068570679356</v>
      </c>
      <c r="FZ11" s="326">
        <f t="shared" si="79"/>
        <v>15.265382808830431</v>
      </c>
      <c r="GA11" s="326">
        <f t="shared" si="79"/>
        <v>-1.4877157187792256</v>
      </c>
      <c r="GB11" s="326">
        <f t="shared" si="79"/>
        <v>-4.2253521126760507</v>
      </c>
      <c r="GC11" s="326">
        <f t="shared" si="79"/>
        <v>-8.448641921077682</v>
      </c>
      <c r="GD11" s="326">
        <f t="shared" si="79"/>
        <v>16.820129455738897</v>
      </c>
      <c r="GE11" s="326">
        <f t="shared" si="79"/>
        <v>-15.260412354061437</v>
      </c>
      <c r="GF11" s="326">
        <f t="shared" si="79"/>
        <v>-10.819864332970452</v>
      </c>
      <c r="GG11" s="326">
        <f t="shared" si="79"/>
        <v>-22.306985294117652</v>
      </c>
      <c r="GH11" s="326">
        <f t="shared" si="79"/>
        <v>-19.847401970253042</v>
      </c>
      <c r="GI11" s="326">
        <f t="shared" si="79"/>
        <v>-16.769202087994028</v>
      </c>
      <c r="GJ11" s="326">
        <f t="shared" si="79"/>
        <v>-12.576264514859281</v>
      </c>
      <c r="GK11" s="326">
        <f t="shared" si="79"/>
        <v>-37.936607704049564</v>
      </c>
      <c r="GL11" s="399">
        <f t="shared" si="79"/>
        <v>-9.6749197981012216</v>
      </c>
      <c r="GM11" s="326">
        <f t="shared" si="79"/>
        <v>-34.221678891605542</v>
      </c>
      <c r="GN11" s="326">
        <f t="shared" si="79"/>
        <v>-24.162927166033821</v>
      </c>
      <c r="GO11" s="326">
        <f t="shared" si="79"/>
        <v>-24.53001819284415</v>
      </c>
      <c r="GP11" s="326">
        <f t="shared" si="79"/>
        <v>-17.536985205917645</v>
      </c>
      <c r="GQ11" s="326">
        <f t="shared" si="79"/>
        <v>-24.629311690338696</v>
      </c>
      <c r="GR11" s="326">
        <f t="shared" si="79"/>
        <v>-19.884698065272623</v>
      </c>
      <c r="GS11" s="326">
        <f t="shared" si="79"/>
        <v>-22.612451873415338</v>
      </c>
      <c r="GT11" s="326">
        <f t="shared" si="79"/>
        <v>-0.23660238968412628</v>
      </c>
      <c r="GU11" s="326">
        <f t="shared" si="79"/>
        <v>22.135197011688156</v>
      </c>
      <c r="GV11" s="326">
        <f t="shared" si="79"/>
        <v>22.802105498936044</v>
      </c>
      <c r="GW11" s="326">
        <f t="shared" si="79"/>
        <v>4.9527239981989934</v>
      </c>
      <c r="GX11" s="326">
        <f t="shared" si="79"/>
        <v>19.212962962962976</v>
      </c>
      <c r="GY11" s="399">
        <f t="shared" si="79"/>
        <v>-11.549840053235416</v>
      </c>
      <c r="GZ11" s="326">
        <f t="shared" si="79"/>
        <v>1.5983149547763587</v>
      </c>
      <c r="HA11" s="326">
        <f t="shared" si="79"/>
        <v>-5.2799271734182973</v>
      </c>
      <c r="HB11" s="326">
        <f t="shared" si="79"/>
        <v>-9.2908798714342993</v>
      </c>
      <c r="HC11" s="326">
        <f t="shared" si="79"/>
        <v>-27.773467804499607</v>
      </c>
      <c r="HD11" s="326">
        <f t="shared" si="79"/>
        <v>-12.455995030026912</v>
      </c>
      <c r="HE11" s="326">
        <f t="shared" ref="HE11:HY11" si="80">(HE10/GR10-1)*100</f>
        <v>-2.6954506647152154</v>
      </c>
      <c r="HF11" s="326">
        <f t="shared" si="80"/>
        <v>11.867491809246445</v>
      </c>
      <c r="HG11" s="326">
        <f t="shared" si="80"/>
        <v>-25.317206213684329</v>
      </c>
      <c r="HH11" s="326">
        <f t="shared" si="80"/>
        <v>-15.390686661404885</v>
      </c>
      <c r="HI11" s="326">
        <f t="shared" si="80"/>
        <v>-13.844049247606026</v>
      </c>
      <c r="HJ11" s="326">
        <f t="shared" si="80"/>
        <v>-4.9227799227799185</v>
      </c>
      <c r="HK11" s="326">
        <f t="shared" si="80"/>
        <v>-17.269417475728154</v>
      </c>
      <c r="HL11" s="399">
        <f t="shared" si="80"/>
        <v>-10.573497820037536</v>
      </c>
      <c r="HM11" s="326">
        <f t="shared" si="80"/>
        <v>-30.780487804878042</v>
      </c>
      <c r="HN11" s="326">
        <f t="shared" si="80"/>
        <v>-39.199903892359444</v>
      </c>
      <c r="HO11" s="326">
        <f t="shared" si="80"/>
        <v>-32.244491196988157</v>
      </c>
      <c r="HP11" s="326">
        <f t="shared" si="80"/>
        <v>-28.141783029001076</v>
      </c>
      <c r="HQ11" s="288">
        <f t="shared" si="80"/>
        <v>-44.861028976936723</v>
      </c>
      <c r="HR11" s="442">
        <f t="shared" si="80"/>
        <v>-34.457257458009529</v>
      </c>
      <c r="HS11" s="448">
        <f t="shared" si="80"/>
        <v>-43.215099251545716</v>
      </c>
      <c r="HT11" s="448">
        <f t="shared" si="80"/>
        <v>-40.298507462686572</v>
      </c>
      <c r="HU11" s="448">
        <f t="shared" si="80"/>
        <v>-55.00233208955224</v>
      </c>
      <c r="HV11" s="448">
        <f t="shared" si="80"/>
        <v>-57.235101090293213</v>
      </c>
      <c r="HW11" s="448">
        <f t="shared" si="80"/>
        <v>-62.628313592780607</v>
      </c>
      <c r="HX11" s="448">
        <f t="shared" si="80"/>
        <v>-51.371571072319199</v>
      </c>
      <c r="HY11" s="478">
        <f t="shared" si="80"/>
        <v>-43.622412779500898</v>
      </c>
      <c r="HZ11" s="448">
        <f>(3/6-1)*100</f>
        <v>-50</v>
      </c>
      <c r="IA11" s="448">
        <f>(2/5-1)*100</f>
        <v>-60</v>
      </c>
      <c r="IB11" s="448">
        <f t="shared" ref="IB11:II11" si="81">(3/HO10-1)*100</f>
        <v>-50.97238110802418</v>
      </c>
      <c r="IC11" s="448">
        <f t="shared" si="81"/>
        <v>-43.946188340807183</v>
      </c>
      <c r="ID11" s="448">
        <f t="shared" si="81"/>
        <v>-35.649935649935649</v>
      </c>
      <c r="IE11" s="448">
        <f t="shared" si="81"/>
        <v>-42.62765347102696</v>
      </c>
      <c r="IF11" s="448">
        <f t="shared" si="81"/>
        <v>-42.693409742120345</v>
      </c>
      <c r="IG11" s="448">
        <f t="shared" si="81"/>
        <v>-20.212765957446798</v>
      </c>
      <c r="IH11" s="448">
        <f t="shared" si="81"/>
        <v>-22.259652759782323</v>
      </c>
      <c r="II11" s="448">
        <f t="shared" si="81"/>
        <v>-25.742574257425744</v>
      </c>
      <c r="IJ11" s="448">
        <f>(4/HW10-1)*100</f>
        <v>20.736492604889811</v>
      </c>
      <c r="IK11" s="448">
        <f>(4/HX10-1)*100</f>
        <v>20.663650075414775</v>
      </c>
      <c r="IL11" s="482">
        <f>(36/HY10-1)*100</f>
        <v>-35.276244583880192</v>
      </c>
      <c r="IM11" s="448">
        <f>(IM10/HZ10-1)*100</f>
        <v>20.938628158844775</v>
      </c>
      <c r="IN11" s="507">
        <f t="shared" ref="IN11:IX11" si="82">(IN10/IA10-1)*100</f>
        <v>116.69385535617182</v>
      </c>
      <c r="IO11" s="507">
        <f t="shared" si="82"/>
        <v>113.84035628639944</v>
      </c>
      <c r="IP11" s="507">
        <f t="shared" si="82"/>
        <v>14.871953100894775</v>
      </c>
      <c r="IQ11" s="507">
        <f t="shared" si="82"/>
        <v>48.737461086129372</v>
      </c>
      <c r="IR11" s="507">
        <f t="shared" si="82"/>
        <v>41.770901909150759</v>
      </c>
      <c r="IS11" s="507">
        <f t="shared" si="82"/>
        <v>33.058739255014324</v>
      </c>
      <c r="IT11" s="507">
        <f t="shared" si="82"/>
        <v>19.308357348703176</v>
      </c>
      <c r="IU11" s="507">
        <f t="shared" si="82"/>
        <v>51.253581661891111</v>
      </c>
      <c r="IV11" s="507">
        <f t="shared" si="82"/>
        <v>24.896388395500303</v>
      </c>
      <c r="IW11" s="507">
        <f t="shared" si="82"/>
        <v>43.681244969144075</v>
      </c>
      <c r="IX11" s="507">
        <f t="shared" si="82"/>
        <v>25.359661495063477</v>
      </c>
      <c r="IY11" s="482">
        <f>(IY10/IL10-1)*100</f>
        <v>43.315223479332367</v>
      </c>
      <c r="IZ11" s="507">
        <f>(IZ10/IM10-1)*100</f>
        <v>45.462686567164191</v>
      </c>
      <c r="JA11" s="507">
        <f t="shared" ref="JA11:JE11" si="83">(JA10/IN10-1)*100</f>
        <v>22.860727728983687</v>
      </c>
      <c r="JB11" s="507">
        <f t="shared" si="83"/>
        <v>-34.396026914450495</v>
      </c>
      <c r="JC11" s="507">
        <f t="shared" si="83"/>
        <v>35.831318828901424</v>
      </c>
      <c r="JD11" s="507">
        <f t="shared" si="83"/>
        <v>21.767441860465109</v>
      </c>
      <c r="JE11" s="507">
        <f t="shared" si="83"/>
        <v>46.29672625957744</v>
      </c>
      <c r="JF11" s="507">
        <f>(JF10/4-1)*100</f>
        <v>75</v>
      </c>
      <c r="JG11" s="507">
        <f>(JG10/IT10-1)*100</f>
        <v>81.40096618357488</v>
      </c>
      <c r="JH11" s="507">
        <f t="shared" ref="JH11:JK11" si="84">(JH10/IU10-1)*100</f>
        <v>90.741179256452753</v>
      </c>
      <c r="JI11" s="507">
        <f t="shared" si="84"/>
        <v>76.629533064707275</v>
      </c>
      <c r="JJ11" s="507">
        <f t="shared" si="84"/>
        <v>22.091503267973867</v>
      </c>
      <c r="JK11" s="507">
        <f t="shared" si="84"/>
        <v>37.016201620162015</v>
      </c>
      <c r="JL11" s="532">
        <f>(JL10/51-1)*100</f>
        <v>39.2156862745098</v>
      </c>
      <c r="JM11" s="507">
        <f t="shared" si="29"/>
        <v>6.7104453108967732</v>
      </c>
      <c r="JN11" s="574">
        <f>(JN10/5-1)*100</f>
        <v>0</v>
      </c>
    </row>
    <row r="12" spans="1:292" x14ac:dyDescent="0.15">
      <c r="A12" s="553" t="s">
        <v>124</v>
      </c>
      <c r="B12" s="11" t="s">
        <v>127</v>
      </c>
      <c r="C12" s="12">
        <v>22876</v>
      </c>
      <c r="D12" s="13">
        <v>23491</v>
      </c>
      <c r="E12" s="14">
        <v>23449</v>
      </c>
      <c r="F12" s="13">
        <v>19265</v>
      </c>
      <c r="G12" s="14">
        <v>17612</v>
      </c>
      <c r="H12" s="131">
        <v>2825</v>
      </c>
      <c r="I12" s="14">
        <v>15201</v>
      </c>
      <c r="J12" s="13">
        <v>12256</v>
      </c>
      <c r="K12" s="14">
        <v>11276</v>
      </c>
      <c r="L12" s="13">
        <v>8104</v>
      </c>
      <c r="M12" s="14">
        <v>7839</v>
      </c>
      <c r="N12" s="13">
        <f>SUM(AA12:AL12)</f>
        <v>8023</v>
      </c>
      <c r="O12" s="14">
        <v>565</v>
      </c>
      <c r="P12" s="13">
        <v>668</v>
      </c>
      <c r="Q12" s="13">
        <v>694</v>
      </c>
      <c r="R12" s="13">
        <v>638</v>
      </c>
      <c r="S12" s="13">
        <v>610</v>
      </c>
      <c r="T12" s="13">
        <v>647</v>
      </c>
      <c r="U12" s="13">
        <v>703</v>
      </c>
      <c r="V12" s="13">
        <v>550</v>
      </c>
      <c r="W12" s="13">
        <v>641</v>
      </c>
      <c r="X12" s="13">
        <v>696</v>
      </c>
      <c r="Y12" s="13">
        <v>776</v>
      </c>
      <c r="Z12" s="13">
        <v>651</v>
      </c>
      <c r="AA12" s="14">
        <v>588</v>
      </c>
      <c r="AB12" s="13">
        <v>755</v>
      </c>
      <c r="AC12" s="14">
        <v>711</v>
      </c>
      <c r="AD12" s="13">
        <v>621</v>
      </c>
      <c r="AE12" s="14">
        <v>628</v>
      </c>
      <c r="AF12" s="13">
        <v>733</v>
      </c>
      <c r="AG12" s="14">
        <v>603</v>
      </c>
      <c r="AH12" s="13">
        <v>612</v>
      </c>
      <c r="AI12" s="14">
        <v>677</v>
      </c>
      <c r="AJ12" s="13">
        <v>666</v>
      </c>
      <c r="AK12" s="14">
        <v>671</v>
      </c>
      <c r="AL12" s="13">
        <v>758</v>
      </c>
      <c r="AM12" s="14">
        <f>SUM(AN12:AY12)</f>
        <v>8132</v>
      </c>
      <c r="AN12" s="113">
        <v>627</v>
      </c>
      <c r="AO12" s="13">
        <v>790</v>
      </c>
      <c r="AP12" s="85">
        <v>686</v>
      </c>
      <c r="AQ12" s="101">
        <v>721</v>
      </c>
      <c r="AR12" s="29">
        <v>633</v>
      </c>
      <c r="AS12" s="28">
        <v>645</v>
      </c>
      <c r="AT12" s="29">
        <v>640</v>
      </c>
      <c r="AU12" s="28">
        <v>630</v>
      </c>
      <c r="AV12" s="29">
        <v>652</v>
      </c>
      <c r="AW12" s="28">
        <v>692</v>
      </c>
      <c r="AX12" s="29">
        <v>730</v>
      </c>
      <c r="AY12" s="28">
        <v>686</v>
      </c>
      <c r="AZ12" s="110">
        <f>SUM(BA12:BL12)</f>
        <v>7901</v>
      </c>
      <c r="BA12" s="12">
        <v>617</v>
      </c>
      <c r="BB12" s="14">
        <v>645</v>
      </c>
      <c r="BC12" s="14">
        <v>647</v>
      </c>
      <c r="BD12" s="14">
        <v>603</v>
      </c>
      <c r="BE12" s="14">
        <v>530</v>
      </c>
      <c r="BF12" s="14">
        <v>708</v>
      </c>
      <c r="BG12" s="14">
        <v>681</v>
      </c>
      <c r="BH12" s="14">
        <v>583</v>
      </c>
      <c r="BI12" s="14">
        <v>676</v>
      </c>
      <c r="BJ12" s="14">
        <v>752</v>
      </c>
      <c r="BK12" s="14">
        <v>763</v>
      </c>
      <c r="BL12" s="14">
        <v>696</v>
      </c>
      <c r="BM12" s="14">
        <v>690</v>
      </c>
      <c r="BN12" s="14">
        <v>784</v>
      </c>
      <c r="BO12" s="14">
        <v>787</v>
      </c>
      <c r="BP12" s="14">
        <v>770</v>
      </c>
      <c r="BQ12" s="14">
        <v>744</v>
      </c>
      <c r="BR12" s="14">
        <v>1171</v>
      </c>
      <c r="BS12" s="14">
        <v>1339</v>
      </c>
      <c r="BT12" s="14">
        <v>1176</v>
      </c>
      <c r="BU12" s="14">
        <v>1196</v>
      </c>
      <c r="BV12" s="14">
        <v>1330</v>
      </c>
      <c r="BW12" s="14">
        <v>1293</v>
      </c>
      <c r="BX12" s="14">
        <v>1237</v>
      </c>
      <c r="BY12" s="110">
        <f>SUM(BM12:BX12)</f>
        <v>12517</v>
      </c>
      <c r="BZ12" s="113">
        <v>1104</v>
      </c>
      <c r="CA12" s="14">
        <v>1298</v>
      </c>
      <c r="CB12" s="14">
        <v>1354</v>
      </c>
      <c r="CC12" s="14">
        <v>1269</v>
      </c>
      <c r="CD12" s="14">
        <v>1147</v>
      </c>
      <c r="CE12" s="153">
        <v>1355</v>
      </c>
      <c r="CF12" s="153">
        <v>1250</v>
      </c>
      <c r="CG12" s="153">
        <v>1132</v>
      </c>
      <c r="CH12" s="153">
        <v>1285</v>
      </c>
      <c r="CI12" s="153">
        <v>1339</v>
      </c>
      <c r="CJ12" s="26">
        <v>1272</v>
      </c>
      <c r="CK12" s="109">
        <v>1306</v>
      </c>
      <c r="CL12" s="102">
        <f>SUM(BZ12:CK12)</f>
        <v>15111</v>
      </c>
      <c r="CM12" s="285">
        <v>1106</v>
      </c>
      <c r="CN12" s="286">
        <v>1292</v>
      </c>
      <c r="CO12" s="286">
        <v>1317</v>
      </c>
      <c r="CP12" s="323">
        <v>1162</v>
      </c>
      <c r="CQ12" s="330">
        <v>981</v>
      </c>
      <c r="CR12" s="330">
        <v>1041</v>
      </c>
      <c r="CS12" s="330">
        <v>1310</v>
      </c>
      <c r="CT12" s="330">
        <v>1213</v>
      </c>
      <c r="CU12" s="330">
        <v>1280</v>
      </c>
      <c r="CV12" s="330">
        <v>1250</v>
      </c>
      <c r="CW12" s="323">
        <v>1461</v>
      </c>
      <c r="CX12" s="313">
        <v>1417</v>
      </c>
      <c r="CY12" s="102">
        <f>SUM(CM12:CX12)</f>
        <v>14830</v>
      </c>
      <c r="CZ12" s="323">
        <v>1417</v>
      </c>
      <c r="DA12" s="323">
        <v>1357</v>
      </c>
      <c r="DB12" s="323">
        <v>1202</v>
      </c>
      <c r="DC12" s="323">
        <v>1143</v>
      </c>
      <c r="DD12" s="323">
        <v>990</v>
      </c>
      <c r="DE12" s="323">
        <v>1149</v>
      </c>
      <c r="DF12" s="323">
        <v>1072</v>
      </c>
      <c r="DG12" s="323">
        <v>981</v>
      </c>
      <c r="DH12" s="323">
        <v>1083</v>
      </c>
      <c r="DI12" s="323">
        <v>1086</v>
      </c>
      <c r="DJ12" s="323">
        <v>1009</v>
      </c>
      <c r="DK12" s="323">
        <v>746</v>
      </c>
      <c r="DL12" s="102">
        <f>SUM(CZ12:DK12)</f>
        <v>13235</v>
      </c>
      <c r="DM12" s="323">
        <v>801</v>
      </c>
      <c r="DN12" s="323">
        <v>962</v>
      </c>
      <c r="DO12" s="323">
        <v>989</v>
      </c>
      <c r="DP12" s="323">
        <v>907</v>
      </c>
      <c r="DQ12" s="323">
        <v>849</v>
      </c>
      <c r="DR12" s="323">
        <v>1394</v>
      </c>
      <c r="DS12" s="323">
        <v>1262</v>
      </c>
      <c r="DT12" s="323">
        <v>1402</v>
      </c>
      <c r="DU12" s="323">
        <v>1317</v>
      </c>
      <c r="DV12" s="323">
        <v>689</v>
      </c>
      <c r="DW12" s="323">
        <v>856</v>
      </c>
      <c r="DX12" s="286">
        <v>753</v>
      </c>
      <c r="DY12" s="306">
        <f>SUM(DM12:DX12)</f>
        <v>12181</v>
      </c>
      <c r="DZ12" s="323">
        <v>645</v>
      </c>
      <c r="EA12" s="323">
        <v>754</v>
      </c>
      <c r="EB12" s="323">
        <v>724</v>
      </c>
      <c r="EC12" s="323">
        <v>694</v>
      </c>
      <c r="ED12" s="323">
        <v>642</v>
      </c>
      <c r="EE12" s="323">
        <v>686</v>
      </c>
      <c r="EF12" s="323">
        <v>703</v>
      </c>
      <c r="EG12" s="323">
        <v>603</v>
      </c>
      <c r="EH12" s="323">
        <v>686</v>
      </c>
      <c r="EI12" s="323">
        <v>654</v>
      </c>
      <c r="EJ12" s="323">
        <v>619</v>
      </c>
      <c r="EK12" s="323">
        <v>490</v>
      </c>
      <c r="EL12" s="306">
        <f>SUM(DZ12:EK12)</f>
        <v>7900</v>
      </c>
      <c r="EM12" s="323">
        <v>343</v>
      </c>
      <c r="EN12" s="323">
        <v>348</v>
      </c>
      <c r="EO12" s="323">
        <v>228</v>
      </c>
      <c r="EP12" s="323">
        <v>233.2</v>
      </c>
      <c r="EQ12" s="323">
        <v>210.2</v>
      </c>
      <c r="ER12" s="323">
        <v>324.2</v>
      </c>
      <c r="ES12" s="323">
        <v>381.2</v>
      </c>
      <c r="ET12" s="323">
        <v>465.2</v>
      </c>
      <c r="EU12" s="323">
        <v>363.2</v>
      </c>
      <c r="EV12" s="323">
        <v>352.2</v>
      </c>
      <c r="EW12" s="323">
        <v>340.6</v>
      </c>
      <c r="EX12" s="323">
        <v>341.7</v>
      </c>
      <c r="EY12" s="306">
        <f>SUM(EM12:EX12)</f>
        <v>3930.6999999999994</v>
      </c>
      <c r="EZ12" s="323">
        <v>250.3</v>
      </c>
      <c r="FA12" s="323">
        <v>273.89999999999998</v>
      </c>
      <c r="FB12" s="323">
        <v>240.05</v>
      </c>
      <c r="FC12" s="323">
        <v>160.4</v>
      </c>
      <c r="FD12" s="323">
        <v>161.4</v>
      </c>
      <c r="FE12" s="323">
        <v>216.4</v>
      </c>
      <c r="FF12" s="323">
        <v>167.4</v>
      </c>
      <c r="FG12" s="323">
        <v>143.4</v>
      </c>
      <c r="FH12" s="323">
        <v>168.7</v>
      </c>
      <c r="FI12" s="323">
        <v>179.9</v>
      </c>
      <c r="FJ12" s="323">
        <v>185.3</v>
      </c>
      <c r="FK12" s="323">
        <v>198.81</v>
      </c>
      <c r="FL12" s="306">
        <f>SUM(EZ12:FK12)</f>
        <v>2345.9600000000005</v>
      </c>
      <c r="FM12" s="323">
        <v>158.9</v>
      </c>
      <c r="FN12" s="323">
        <v>179.5</v>
      </c>
      <c r="FO12" s="323">
        <v>179.42</v>
      </c>
      <c r="FP12" s="323">
        <v>160.4</v>
      </c>
      <c r="FQ12" s="323">
        <v>147.69999999999999</v>
      </c>
      <c r="FR12" s="323">
        <v>170.7</v>
      </c>
      <c r="FS12" s="323">
        <v>163.69999999999999</v>
      </c>
      <c r="FT12" s="323">
        <v>149.6</v>
      </c>
      <c r="FU12" s="323">
        <v>196.7</v>
      </c>
      <c r="FV12" s="323">
        <v>171.9</v>
      </c>
      <c r="FW12" s="323">
        <v>189.9</v>
      </c>
      <c r="FX12" s="323">
        <v>173.5</v>
      </c>
      <c r="FY12" s="306">
        <f>SUM(FM12:FX12)</f>
        <v>2041.92</v>
      </c>
      <c r="FZ12" s="323">
        <v>158.30000000000001</v>
      </c>
      <c r="GA12" s="323">
        <v>180.4</v>
      </c>
      <c r="GB12" s="323">
        <v>167.1</v>
      </c>
      <c r="GC12" s="323">
        <v>132.1</v>
      </c>
      <c r="GD12" s="323">
        <v>116.7</v>
      </c>
      <c r="GE12" s="323">
        <v>114.8</v>
      </c>
      <c r="GF12" s="323">
        <v>120</v>
      </c>
      <c r="GG12" s="323">
        <v>100</v>
      </c>
      <c r="GH12" s="323">
        <v>112.9</v>
      </c>
      <c r="GI12" s="323">
        <v>134.80000000000001</v>
      </c>
      <c r="GJ12" s="323">
        <v>181.3</v>
      </c>
      <c r="GK12" s="323">
        <v>114.8</v>
      </c>
      <c r="GL12" s="306">
        <f>SUM(FZ12:GK12)</f>
        <v>1633.2</v>
      </c>
      <c r="GM12" s="323">
        <v>108</v>
      </c>
      <c r="GN12" s="323">
        <v>107.3</v>
      </c>
      <c r="GO12" s="323">
        <v>108.7</v>
      </c>
      <c r="GP12" s="323">
        <v>242.7</v>
      </c>
      <c r="GQ12" s="323">
        <v>199</v>
      </c>
      <c r="GR12" s="323">
        <v>261.8</v>
      </c>
      <c r="GS12" s="323">
        <v>262.8</v>
      </c>
      <c r="GT12" s="323">
        <v>244</v>
      </c>
      <c r="GU12" s="323">
        <v>287.3</v>
      </c>
      <c r="GV12" s="323">
        <v>252.4</v>
      </c>
      <c r="GW12" s="323">
        <v>325.3</v>
      </c>
      <c r="GX12" s="323">
        <v>244.88</v>
      </c>
      <c r="GY12" s="306">
        <f>SUM(GM12:GX12)</f>
        <v>2644.1800000000003</v>
      </c>
      <c r="GZ12" s="323">
        <v>194.8</v>
      </c>
      <c r="HA12" s="323">
        <v>295.39999999999998</v>
      </c>
      <c r="HB12" s="323">
        <v>256.8</v>
      </c>
      <c r="HC12" s="323">
        <v>252.6</v>
      </c>
      <c r="HD12" s="323">
        <v>228.37</v>
      </c>
      <c r="HE12" s="323">
        <v>248.05</v>
      </c>
      <c r="HF12" s="323">
        <v>279.05</v>
      </c>
      <c r="HG12" s="323">
        <v>215.05</v>
      </c>
      <c r="HH12" s="323">
        <v>282.85000000000002</v>
      </c>
      <c r="HI12" s="323">
        <v>311.05</v>
      </c>
      <c r="HJ12" s="323">
        <v>267.25</v>
      </c>
      <c r="HK12" s="323">
        <v>1400.95</v>
      </c>
      <c r="HL12" s="306">
        <f>SUM(GZ12:HK12)</f>
        <v>4232.22</v>
      </c>
      <c r="HM12" s="323">
        <v>1131.57</v>
      </c>
      <c r="HN12" s="323">
        <v>1730.27</v>
      </c>
      <c r="HO12" s="323">
        <v>949.06</v>
      </c>
      <c r="HP12" s="323">
        <v>439.7</v>
      </c>
      <c r="HQ12" s="286">
        <v>219.9</v>
      </c>
      <c r="HR12" s="443">
        <v>277.3</v>
      </c>
      <c r="HS12" s="449">
        <v>248.1</v>
      </c>
      <c r="HT12" s="453">
        <v>213.55</v>
      </c>
      <c r="HU12" s="453">
        <v>247.05</v>
      </c>
      <c r="HV12" s="453">
        <v>222.6</v>
      </c>
      <c r="HW12" s="453">
        <v>392.57</v>
      </c>
      <c r="HX12" s="453">
        <v>220.88</v>
      </c>
      <c r="HY12" s="477">
        <f>SUM(HM12:HX12)</f>
        <v>6292.5500000000011</v>
      </c>
      <c r="HZ12" s="453">
        <v>205.46</v>
      </c>
      <c r="IA12" s="453">
        <v>222.85</v>
      </c>
      <c r="IB12" s="453">
        <v>229.97</v>
      </c>
      <c r="IC12" s="453">
        <v>237</v>
      </c>
      <c r="ID12" s="453">
        <v>154.9</v>
      </c>
      <c r="IE12" s="453">
        <v>221.1</v>
      </c>
      <c r="IF12" s="453">
        <v>206.1</v>
      </c>
      <c r="IG12" s="453">
        <v>168.1</v>
      </c>
      <c r="IH12" s="453">
        <v>231.1</v>
      </c>
      <c r="II12" s="453">
        <v>197.1</v>
      </c>
      <c r="IJ12" s="453">
        <v>384.61</v>
      </c>
      <c r="IK12" s="453">
        <v>202.59</v>
      </c>
      <c r="IL12" s="483">
        <f>SUM(HZ12:IK12)</f>
        <v>2660.88</v>
      </c>
      <c r="IM12" s="453">
        <v>181</v>
      </c>
      <c r="IN12" s="453">
        <v>236</v>
      </c>
      <c r="IO12" s="453">
        <v>253</v>
      </c>
      <c r="IP12" s="453">
        <v>218</v>
      </c>
      <c r="IQ12" s="453">
        <v>200</v>
      </c>
      <c r="IR12" s="453">
        <v>237</v>
      </c>
      <c r="IS12" s="453">
        <v>206</v>
      </c>
      <c r="IT12" s="453">
        <v>223</v>
      </c>
      <c r="IU12" s="453">
        <v>217</v>
      </c>
      <c r="IV12" s="453">
        <v>227</v>
      </c>
      <c r="IW12" s="515">
        <v>196</v>
      </c>
      <c r="IX12" s="453">
        <v>195</v>
      </c>
      <c r="IY12" s="483">
        <f>SUM(IM12:IX12)</f>
        <v>2589</v>
      </c>
      <c r="IZ12" s="515">
        <v>192</v>
      </c>
      <c r="JA12" s="453">
        <v>226</v>
      </c>
      <c r="JB12" s="515">
        <v>220</v>
      </c>
      <c r="JC12" s="453">
        <v>232</v>
      </c>
      <c r="JD12" s="453">
        <v>205</v>
      </c>
      <c r="JE12" s="453">
        <v>291</v>
      </c>
      <c r="JF12" s="520">
        <v>241</v>
      </c>
      <c r="JG12" s="520">
        <v>214</v>
      </c>
      <c r="JH12" s="521">
        <v>271</v>
      </c>
      <c r="JI12" s="522">
        <v>255</v>
      </c>
      <c r="JJ12" s="522">
        <v>303</v>
      </c>
      <c r="JK12" s="522">
        <v>270</v>
      </c>
      <c r="JL12" s="530">
        <v>2920</v>
      </c>
      <c r="JM12" s="540">
        <v>203</v>
      </c>
      <c r="JN12" s="575">
        <v>325</v>
      </c>
    </row>
    <row r="13" spans="1:292" x14ac:dyDescent="0.15">
      <c r="A13" s="554"/>
      <c r="B13" s="35" t="s">
        <v>76</v>
      </c>
      <c r="C13" s="16"/>
      <c r="D13" s="17">
        <f t="shared" ref="D13:M13" si="85">(D12/C12-1)*100</f>
        <v>2.6884070641720603</v>
      </c>
      <c r="E13" s="18">
        <f t="shared" si="85"/>
        <v>-0.17879187774041405</v>
      </c>
      <c r="F13" s="17">
        <f t="shared" si="85"/>
        <v>-17.842978378608898</v>
      </c>
      <c r="G13" s="18">
        <f t="shared" si="85"/>
        <v>-8.5803270179081181</v>
      </c>
      <c r="H13" s="17">
        <f t="shared" si="85"/>
        <v>-83.959800136270729</v>
      </c>
      <c r="I13" s="18">
        <f t="shared" si="85"/>
        <v>438.08849557522126</v>
      </c>
      <c r="J13" s="17">
        <f t="shared" si="85"/>
        <v>-19.37372541280179</v>
      </c>
      <c r="K13" s="18">
        <f t="shared" si="85"/>
        <v>-7.996083550913835</v>
      </c>
      <c r="L13" s="17">
        <f t="shared" si="85"/>
        <v>-28.130542745654484</v>
      </c>
      <c r="M13" s="18">
        <f t="shared" si="85"/>
        <v>-3.2699901283316901</v>
      </c>
      <c r="N13" s="18">
        <f>(N12/M12-1)*100</f>
        <v>2.3472381681336918</v>
      </c>
      <c r="O13" s="19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18">
        <f t="shared" ref="AA13:AL13" si="86">(AA12/O12-1)*100</f>
        <v>4.0707964601769842</v>
      </c>
      <c r="AB13" s="18">
        <f t="shared" si="86"/>
        <v>13.023952095808378</v>
      </c>
      <c r="AC13" s="18">
        <f t="shared" si="86"/>
        <v>2.4495677233429491</v>
      </c>
      <c r="AD13" s="18">
        <f t="shared" si="86"/>
        <v>-2.6645768025078342</v>
      </c>
      <c r="AE13" s="18">
        <f t="shared" si="86"/>
        <v>2.9508196721311553</v>
      </c>
      <c r="AF13" s="18">
        <f t="shared" si="86"/>
        <v>13.292117465224118</v>
      </c>
      <c r="AG13" s="18">
        <f t="shared" si="86"/>
        <v>-14.224751066856333</v>
      </c>
      <c r="AH13" s="18">
        <f t="shared" si="86"/>
        <v>11.272727272727279</v>
      </c>
      <c r="AI13" s="18">
        <f t="shared" si="86"/>
        <v>5.616224648985968</v>
      </c>
      <c r="AJ13" s="18">
        <f t="shared" si="86"/>
        <v>-4.31034482758621</v>
      </c>
      <c r="AK13" s="18">
        <f t="shared" si="86"/>
        <v>-13.530927835051543</v>
      </c>
      <c r="AL13" s="86">
        <f t="shared" si="86"/>
        <v>16.436251920122878</v>
      </c>
      <c r="AM13" s="18">
        <f>(AM12/N12-1)*100</f>
        <v>1.35859404212888</v>
      </c>
      <c r="AN13" s="116">
        <f t="shared" ref="AN13:AY13" si="87">(AN12/AA12-1)*100</f>
        <v>6.6326530612244916</v>
      </c>
      <c r="AO13" s="18">
        <f t="shared" si="87"/>
        <v>4.635761589403975</v>
      </c>
      <c r="AP13" s="86">
        <f t="shared" si="87"/>
        <v>-3.5161744022503494</v>
      </c>
      <c r="AQ13" s="18">
        <f t="shared" si="87"/>
        <v>16.103059581320455</v>
      </c>
      <c r="AR13" s="18">
        <f t="shared" si="87"/>
        <v>0.79617834394904996</v>
      </c>
      <c r="AS13" s="17">
        <f t="shared" si="87"/>
        <v>-12.005457025920874</v>
      </c>
      <c r="AT13" s="18">
        <f t="shared" si="87"/>
        <v>6.1359867330016638</v>
      </c>
      <c r="AU13" s="17">
        <f t="shared" si="87"/>
        <v>2.9411764705882248</v>
      </c>
      <c r="AV13" s="18">
        <f t="shared" si="87"/>
        <v>-3.6927621861152171</v>
      </c>
      <c r="AW13" s="17">
        <f t="shared" si="87"/>
        <v>3.9039039039038936</v>
      </c>
      <c r="AX13" s="18">
        <f t="shared" si="87"/>
        <v>8.7928464977645291</v>
      </c>
      <c r="AY13" s="17">
        <f t="shared" si="87"/>
        <v>-9.4986807387862804</v>
      </c>
      <c r="AZ13" s="106">
        <f t="shared" ref="AZ13:BL13" si="88">(AZ12/AM12-1)*100</f>
        <v>-2.8406296114117047</v>
      </c>
      <c r="BA13" s="123">
        <f t="shared" si="88"/>
        <v>-1.5948963317384379</v>
      </c>
      <c r="BB13" s="18">
        <f t="shared" si="88"/>
        <v>-18.354430379746834</v>
      </c>
      <c r="BC13" s="18">
        <f t="shared" si="88"/>
        <v>-5.6851311953352806</v>
      </c>
      <c r="BD13" s="18">
        <f t="shared" si="88"/>
        <v>-16.366158113730933</v>
      </c>
      <c r="BE13" s="18">
        <f t="shared" si="88"/>
        <v>-16.271721958925756</v>
      </c>
      <c r="BF13" s="18">
        <f t="shared" si="88"/>
        <v>9.7674418604651194</v>
      </c>
      <c r="BG13" s="18">
        <f t="shared" si="88"/>
        <v>6.4062499999999911</v>
      </c>
      <c r="BH13" s="18">
        <f t="shared" si="88"/>
        <v>-7.460317460317456</v>
      </c>
      <c r="BI13" s="18">
        <f t="shared" si="88"/>
        <v>3.6809815950920255</v>
      </c>
      <c r="BJ13" s="18">
        <f t="shared" si="88"/>
        <v>8.6705202312138638</v>
      </c>
      <c r="BK13" s="18">
        <f t="shared" si="88"/>
        <v>4.5205479452054886</v>
      </c>
      <c r="BL13" s="18">
        <f t="shared" si="88"/>
        <v>1.4577259475218707</v>
      </c>
      <c r="BM13" s="18">
        <f t="shared" ref="BM13:BX13" si="89">(BM12/BA12-1)*100</f>
        <v>11.831442463533225</v>
      </c>
      <c r="BN13" s="18">
        <f t="shared" si="89"/>
        <v>21.550387596899224</v>
      </c>
      <c r="BO13" s="18">
        <f t="shared" si="89"/>
        <v>21.638330757341585</v>
      </c>
      <c r="BP13" s="18">
        <f t="shared" si="89"/>
        <v>27.694859038142617</v>
      </c>
      <c r="BQ13" s="18">
        <f t="shared" si="89"/>
        <v>40.377358490566031</v>
      </c>
      <c r="BR13" s="18">
        <f t="shared" si="89"/>
        <v>65.395480225988706</v>
      </c>
      <c r="BS13" s="18">
        <f t="shared" si="89"/>
        <v>96.622613803230536</v>
      </c>
      <c r="BT13" s="18">
        <f t="shared" si="89"/>
        <v>101.71526586620926</v>
      </c>
      <c r="BU13" s="18">
        <f t="shared" si="89"/>
        <v>76.92307692307692</v>
      </c>
      <c r="BV13" s="18">
        <f t="shared" si="89"/>
        <v>76.861702127659569</v>
      </c>
      <c r="BW13" s="18">
        <f t="shared" si="89"/>
        <v>69.462647444298824</v>
      </c>
      <c r="BX13" s="18">
        <f t="shared" si="89"/>
        <v>77.729885057471265</v>
      </c>
      <c r="BY13" s="307">
        <f>(BY12/AZ12-1)*100</f>
        <v>58.422984432350347</v>
      </c>
      <c r="BZ13" s="116">
        <f t="shared" ref="BZ13:DE13" si="90">(BZ12/BM12-1)*100</f>
        <v>60.000000000000007</v>
      </c>
      <c r="CA13" s="18">
        <f t="shared" si="90"/>
        <v>65.561224489795904</v>
      </c>
      <c r="CB13" s="18">
        <f t="shared" si="90"/>
        <v>72.045743329097832</v>
      </c>
      <c r="CC13" s="18">
        <f t="shared" si="90"/>
        <v>64.805194805194802</v>
      </c>
      <c r="CD13" s="18">
        <f t="shared" si="90"/>
        <v>54.166666666666671</v>
      </c>
      <c r="CE13" s="86">
        <f t="shared" si="90"/>
        <v>15.713065755764299</v>
      </c>
      <c r="CF13" s="86">
        <f t="shared" si="90"/>
        <v>-6.646751306945486</v>
      </c>
      <c r="CG13" s="86">
        <f t="shared" si="90"/>
        <v>-3.7414965986394599</v>
      </c>
      <c r="CH13" s="86">
        <f t="shared" si="90"/>
        <v>7.4414715719063551</v>
      </c>
      <c r="CI13" s="86">
        <f t="shared" si="90"/>
        <v>0.67669172932329769</v>
      </c>
      <c r="CJ13" s="18">
        <f t="shared" si="90"/>
        <v>-1.6241299303944357</v>
      </c>
      <c r="CK13" s="106">
        <f t="shared" si="90"/>
        <v>5.5780113177041235</v>
      </c>
      <c r="CL13" s="310">
        <f t="shared" si="90"/>
        <v>20.723815610769346</v>
      </c>
      <c r="CM13" s="291">
        <f t="shared" si="90"/>
        <v>0.18115942028984477</v>
      </c>
      <c r="CN13" s="292">
        <f t="shared" si="90"/>
        <v>-0.46224961479198745</v>
      </c>
      <c r="CO13" s="292">
        <f t="shared" si="90"/>
        <v>-2.7326440177252609</v>
      </c>
      <c r="CP13" s="324">
        <f t="shared" si="90"/>
        <v>-8.4318360914105597</v>
      </c>
      <c r="CQ13" s="331">
        <f t="shared" si="90"/>
        <v>-14.472537053182212</v>
      </c>
      <c r="CR13" s="331">
        <f t="shared" si="90"/>
        <v>-23.17343173431734</v>
      </c>
      <c r="CS13" s="331">
        <f t="shared" si="90"/>
        <v>4.8000000000000043</v>
      </c>
      <c r="CT13" s="331">
        <f t="shared" si="90"/>
        <v>7.1554770318021266</v>
      </c>
      <c r="CU13" s="331">
        <f t="shared" si="90"/>
        <v>-0.38910505836575737</v>
      </c>
      <c r="CV13" s="331">
        <f t="shared" si="90"/>
        <v>-6.646751306945486</v>
      </c>
      <c r="CW13" s="324">
        <f t="shared" si="90"/>
        <v>14.858490566037741</v>
      </c>
      <c r="CX13" s="314">
        <f t="shared" si="90"/>
        <v>8.4992343032159301</v>
      </c>
      <c r="CY13" s="310">
        <f t="shared" si="90"/>
        <v>-1.8595724968565985</v>
      </c>
      <c r="CZ13" s="324">
        <f t="shared" si="90"/>
        <v>28.119349005424965</v>
      </c>
      <c r="DA13" s="324">
        <f t="shared" si="90"/>
        <v>5.0309597523219729</v>
      </c>
      <c r="DB13" s="324">
        <f t="shared" si="90"/>
        <v>-8.7319665907365174</v>
      </c>
      <c r="DC13" s="324">
        <f t="shared" si="90"/>
        <v>-1.6351118760757344</v>
      </c>
      <c r="DD13" s="324">
        <f t="shared" si="90"/>
        <v>0.91743119266054496</v>
      </c>
      <c r="DE13" s="324">
        <f t="shared" si="90"/>
        <v>10.374639769452454</v>
      </c>
      <c r="DF13" s="324">
        <f>(DF12/CS12-1)*100</f>
        <v>-18.167938931297712</v>
      </c>
      <c r="DG13" s="324">
        <f>(DG12/CT12-1)*100</f>
        <v>-19.12613355317395</v>
      </c>
      <c r="DH13" s="324">
        <f>(DH12/CT12-1)*100</f>
        <v>-10.717230008244027</v>
      </c>
      <c r="DI13" s="324">
        <f>(DI12/CU12-1)*100</f>
        <v>-15.156250000000004</v>
      </c>
      <c r="DJ13" s="324">
        <f>(DJ12/CV12-1)*100</f>
        <v>-19.279999999999998</v>
      </c>
      <c r="DK13" s="324">
        <f>(DK12/CW12-1)*100</f>
        <v>-48.939082819986311</v>
      </c>
      <c r="DL13" s="310">
        <f t="shared" ref="DL13:EL13" si="91">(DL12/CY12-1)*100</f>
        <v>-10.755225893459208</v>
      </c>
      <c r="DM13" s="324">
        <f t="shared" si="91"/>
        <v>-43.472124206069161</v>
      </c>
      <c r="DN13" s="324">
        <f t="shared" si="91"/>
        <v>-29.108327192336038</v>
      </c>
      <c r="DO13" s="324">
        <f t="shared" si="91"/>
        <v>-17.720465890183025</v>
      </c>
      <c r="DP13" s="324">
        <f t="shared" si="91"/>
        <v>-20.647419072615925</v>
      </c>
      <c r="DQ13" s="324">
        <f t="shared" si="91"/>
        <v>-14.242424242424246</v>
      </c>
      <c r="DR13" s="324">
        <f t="shared" si="91"/>
        <v>21.322889469103568</v>
      </c>
      <c r="DS13" s="324">
        <f t="shared" si="91"/>
        <v>17.723880597014929</v>
      </c>
      <c r="DT13" s="324">
        <f t="shared" si="91"/>
        <v>42.915392456676862</v>
      </c>
      <c r="DU13" s="324">
        <f t="shared" si="91"/>
        <v>21.606648199445978</v>
      </c>
      <c r="DV13" s="324">
        <f t="shared" si="91"/>
        <v>-36.556169429097608</v>
      </c>
      <c r="DW13" s="324">
        <f t="shared" si="91"/>
        <v>-15.163528245787905</v>
      </c>
      <c r="DX13" s="292">
        <f t="shared" si="91"/>
        <v>0.93833780160856861</v>
      </c>
      <c r="DY13" s="401">
        <f t="shared" si="91"/>
        <v>-7.9637325273894994</v>
      </c>
      <c r="DZ13" s="324">
        <f t="shared" si="91"/>
        <v>-19.475655430711612</v>
      </c>
      <c r="EA13" s="324">
        <f t="shared" si="91"/>
        <v>-21.621621621621621</v>
      </c>
      <c r="EB13" s="324">
        <f t="shared" si="91"/>
        <v>-26.794742163801821</v>
      </c>
      <c r="EC13" s="324">
        <f t="shared" si="91"/>
        <v>-23.484013230429991</v>
      </c>
      <c r="ED13" s="324">
        <f t="shared" si="91"/>
        <v>-24.381625441696109</v>
      </c>
      <c r="EE13" s="324">
        <f t="shared" si="91"/>
        <v>-50.789096126255373</v>
      </c>
      <c r="EF13" s="324">
        <f t="shared" si="91"/>
        <v>-44.294770206022186</v>
      </c>
      <c r="EG13" s="324">
        <f t="shared" si="91"/>
        <v>-56.990014265335233</v>
      </c>
      <c r="EH13" s="324">
        <f t="shared" si="91"/>
        <v>-47.911921032649964</v>
      </c>
      <c r="EI13" s="324">
        <f t="shared" si="91"/>
        <v>-5.0798258345428167</v>
      </c>
      <c r="EJ13" s="324">
        <f t="shared" si="91"/>
        <v>-27.686915887850471</v>
      </c>
      <c r="EK13" s="324">
        <f t="shared" si="91"/>
        <v>-34.926958831341302</v>
      </c>
      <c r="EL13" s="401">
        <f t="shared" si="91"/>
        <v>-35.144897791642727</v>
      </c>
      <c r="EM13" s="324">
        <f t="shared" ref="EM13:EX13" si="92">(EM12/DZ12-1)*100</f>
        <v>-46.821705426356587</v>
      </c>
      <c r="EN13" s="324">
        <f t="shared" si="92"/>
        <v>-53.846153846153847</v>
      </c>
      <c r="EO13" s="324">
        <f t="shared" si="92"/>
        <v>-68.508287292817684</v>
      </c>
      <c r="EP13" s="324">
        <f t="shared" si="92"/>
        <v>-66.397694524495677</v>
      </c>
      <c r="EQ13" s="324">
        <f t="shared" si="92"/>
        <v>-67.258566978193144</v>
      </c>
      <c r="ER13" s="324">
        <f t="shared" si="92"/>
        <v>-52.740524781341101</v>
      </c>
      <c r="ES13" s="324">
        <f t="shared" si="92"/>
        <v>-45.775248933143672</v>
      </c>
      <c r="ET13" s="324">
        <f t="shared" si="92"/>
        <v>-22.852404643449418</v>
      </c>
      <c r="EU13" s="324">
        <f t="shared" si="92"/>
        <v>-47.055393586005835</v>
      </c>
      <c r="EV13" s="324">
        <f t="shared" si="92"/>
        <v>-46.146788990825691</v>
      </c>
      <c r="EW13" s="324">
        <f t="shared" si="92"/>
        <v>-44.975767366720511</v>
      </c>
      <c r="EX13" s="324">
        <f t="shared" si="92"/>
        <v>-30.265306122448987</v>
      </c>
      <c r="EY13" s="401">
        <f t="shared" ref="EY13:FX13" si="93">(EY12/EL12-1)*100</f>
        <v>-50.244303797468362</v>
      </c>
      <c r="EZ13" s="324">
        <f t="shared" si="93"/>
        <v>-27.026239067055393</v>
      </c>
      <c r="FA13" s="324">
        <f t="shared" si="93"/>
        <v>-21.293103448275875</v>
      </c>
      <c r="FB13" s="324">
        <f t="shared" si="93"/>
        <v>5.2850877192982537</v>
      </c>
      <c r="FC13" s="324">
        <f t="shared" si="93"/>
        <v>-31.217838765008565</v>
      </c>
      <c r="FD13" s="324">
        <f t="shared" si="93"/>
        <v>-23.21598477640342</v>
      </c>
      <c r="FE13" s="324">
        <f t="shared" si="93"/>
        <v>-33.251079580505859</v>
      </c>
      <c r="FF13" s="324">
        <f t="shared" si="93"/>
        <v>-56.086044071353626</v>
      </c>
      <c r="FG13" s="324">
        <f t="shared" si="93"/>
        <v>-69.17454858125538</v>
      </c>
      <c r="FH13" s="324">
        <f t="shared" si="93"/>
        <v>-53.551762114537446</v>
      </c>
      <c r="FI13" s="324">
        <f t="shared" si="93"/>
        <v>-48.921067575241338</v>
      </c>
      <c r="FJ13" s="324">
        <f t="shared" si="93"/>
        <v>-45.596007046388735</v>
      </c>
      <c r="FK13" s="324">
        <f t="shared" si="93"/>
        <v>-41.817383669885864</v>
      </c>
      <c r="FL13" s="401">
        <f t="shared" si="93"/>
        <v>-40.316991884397154</v>
      </c>
      <c r="FM13" s="324">
        <f t="shared" si="93"/>
        <v>-36.516180583300041</v>
      </c>
      <c r="FN13" s="324">
        <f t="shared" si="93"/>
        <v>-34.465133260313976</v>
      </c>
      <c r="FO13" s="324">
        <f t="shared" si="93"/>
        <v>-25.257238075400966</v>
      </c>
      <c r="FP13" s="324">
        <f t="shared" si="93"/>
        <v>0</v>
      </c>
      <c r="FQ13" s="324">
        <f t="shared" si="93"/>
        <v>-8.4882280049566443</v>
      </c>
      <c r="FR13" s="324">
        <f t="shared" si="93"/>
        <v>-21.118299445471354</v>
      </c>
      <c r="FS13" s="324">
        <f t="shared" si="93"/>
        <v>-2.2102747909199638</v>
      </c>
      <c r="FT13" s="324">
        <f t="shared" si="93"/>
        <v>4.3235704323570268</v>
      </c>
      <c r="FU13" s="324">
        <f t="shared" si="93"/>
        <v>16.597510373443992</v>
      </c>
      <c r="FV13" s="324">
        <f t="shared" si="93"/>
        <v>-4.4469149527515235</v>
      </c>
      <c r="FW13" s="324">
        <f t="shared" si="93"/>
        <v>2.4824608742579635</v>
      </c>
      <c r="FX13" s="324">
        <f t="shared" si="93"/>
        <v>-12.730747950304311</v>
      </c>
      <c r="FY13" s="401">
        <f t="shared" ref="FY13:HY13" si="94">(FY12/FL12-1)*100</f>
        <v>-12.960152773278333</v>
      </c>
      <c r="FZ13" s="324">
        <f t="shared" si="94"/>
        <v>-0.37759597230963005</v>
      </c>
      <c r="GA13" s="324">
        <f t="shared" si="94"/>
        <v>0.50139275766016844</v>
      </c>
      <c r="GB13" s="324">
        <f t="shared" si="94"/>
        <v>-6.8665700590792467</v>
      </c>
      <c r="GC13" s="324">
        <f t="shared" si="94"/>
        <v>-17.643391521197017</v>
      </c>
      <c r="GD13" s="324">
        <f t="shared" si="94"/>
        <v>-20.988490182802966</v>
      </c>
      <c r="GE13" s="324">
        <f t="shared" si="94"/>
        <v>-32.747510251903918</v>
      </c>
      <c r="GF13" s="324">
        <f t="shared" si="94"/>
        <v>-26.695174098961505</v>
      </c>
      <c r="GG13" s="324">
        <f t="shared" si="94"/>
        <v>-33.155080213903744</v>
      </c>
      <c r="GH13" s="324">
        <f t="shared" si="94"/>
        <v>-42.602948652770714</v>
      </c>
      <c r="GI13" s="324">
        <f t="shared" si="94"/>
        <v>-21.582315299592779</v>
      </c>
      <c r="GJ13" s="324">
        <f t="shared" si="94"/>
        <v>-4.5286993154291739</v>
      </c>
      <c r="GK13" s="324">
        <f t="shared" si="94"/>
        <v>-33.832853025936608</v>
      </c>
      <c r="GL13" s="401">
        <f t="shared" si="94"/>
        <v>-20.016455101081331</v>
      </c>
      <c r="GM13" s="324">
        <f t="shared" si="94"/>
        <v>-31.775110549589392</v>
      </c>
      <c r="GN13" s="324">
        <f t="shared" si="94"/>
        <v>-40.521064301552116</v>
      </c>
      <c r="GO13" s="324">
        <f t="shared" si="94"/>
        <v>-34.94913225613405</v>
      </c>
      <c r="GP13" s="324">
        <f t="shared" si="94"/>
        <v>83.724451173353515</v>
      </c>
      <c r="GQ13" s="324">
        <f t="shared" si="94"/>
        <v>70.522707797772057</v>
      </c>
      <c r="GR13" s="324">
        <f t="shared" si="94"/>
        <v>128.04878048780489</v>
      </c>
      <c r="GS13" s="324">
        <f t="shared" si="94"/>
        <v>119</v>
      </c>
      <c r="GT13" s="324">
        <f t="shared" si="94"/>
        <v>144</v>
      </c>
      <c r="GU13" s="324">
        <f t="shared" si="94"/>
        <v>154.47298494242693</v>
      </c>
      <c r="GV13" s="324">
        <f t="shared" si="94"/>
        <v>87.240356083086041</v>
      </c>
      <c r="GW13" s="324">
        <f t="shared" si="94"/>
        <v>79.426365140650844</v>
      </c>
      <c r="GX13" s="324">
        <f t="shared" si="94"/>
        <v>113.31010452961672</v>
      </c>
      <c r="GY13" s="401">
        <f t="shared" si="94"/>
        <v>61.901787901053162</v>
      </c>
      <c r="GZ13" s="324">
        <f t="shared" si="94"/>
        <v>80.370370370370381</v>
      </c>
      <c r="HA13" s="324">
        <f t="shared" si="94"/>
        <v>175.30288909599255</v>
      </c>
      <c r="HB13" s="324">
        <f t="shared" si="94"/>
        <v>136.24655013799449</v>
      </c>
      <c r="HC13" s="324">
        <f t="shared" si="94"/>
        <v>4.0791100123609425</v>
      </c>
      <c r="HD13" s="324">
        <f t="shared" si="94"/>
        <v>14.758793969849249</v>
      </c>
      <c r="HE13" s="324">
        <f t="shared" si="94"/>
        <v>-5.252100840336138</v>
      </c>
      <c r="HF13" s="324">
        <f t="shared" si="94"/>
        <v>6.1834094368340864</v>
      </c>
      <c r="HG13" s="324">
        <f t="shared" si="94"/>
        <v>-11.864754098360653</v>
      </c>
      <c r="HH13" s="324">
        <f t="shared" si="94"/>
        <v>-1.5489035851026789</v>
      </c>
      <c r="HI13" s="324">
        <f t="shared" si="94"/>
        <v>23.236925515055475</v>
      </c>
      <c r="HJ13" s="324">
        <f t="shared" si="94"/>
        <v>-17.845066092837381</v>
      </c>
      <c r="HK13" s="324">
        <f t="shared" si="94"/>
        <v>472.09653707938583</v>
      </c>
      <c r="HL13" s="401">
        <f t="shared" si="94"/>
        <v>60.05793856696593</v>
      </c>
      <c r="HM13" s="324">
        <f t="shared" si="94"/>
        <v>480.88809034907587</v>
      </c>
      <c r="HN13" s="324">
        <f t="shared" si="94"/>
        <v>485.73798239675023</v>
      </c>
      <c r="HO13" s="324">
        <f t="shared" si="94"/>
        <v>269.57165109034264</v>
      </c>
      <c r="HP13" s="324">
        <f t="shared" si="94"/>
        <v>74.069675376088682</v>
      </c>
      <c r="HQ13" s="292">
        <f t="shared" si="94"/>
        <v>-3.7088934623637049</v>
      </c>
      <c r="HR13" s="440">
        <f t="shared" si="94"/>
        <v>11.791977423906474</v>
      </c>
      <c r="HS13" s="446">
        <f t="shared" si="94"/>
        <v>-11.091202293495794</v>
      </c>
      <c r="HT13" s="446">
        <f t="shared" si="94"/>
        <v>-0.697512206463613</v>
      </c>
      <c r="HU13" s="446">
        <f t="shared" si="94"/>
        <v>-12.656885274880681</v>
      </c>
      <c r="HV13" s="446">
        <f t="shared" si="94"/>
        <v>-28.435942774473567</v>
      </c>
      <c r="HW13" s="446">
        <f t="shared" si="94"/>
        <v>46.892422825070156</v>
      </c>
      <c r="HX13" s="446">
        <f t="shared" si="94"/>
        <v>-84.233555801420465</v>
      </c>
      <c r="HY13" s="480">
        <f t="shared" si="94"/>
        <v>48.682015585201157</v>
      </c>
      <c r="HZ13" s="446">
        <f>(205/1132-1)*100</f>
        <v>-81.890459363957604</v>
      </c>
      <c r="IA13" s="446">
        <f>(223/1730-1)*100</f>
        <v>-87.109826589595372</v>
      </c>
      <c r="IB13" s="446">
        <f>(230/HO12-1)*100</f>
        <v>-75.765494278549312</v>
      </c>
      <c r="IC13" s="446">
        <f>(237/HP12-1)*100</f>
        <v>-46.099613372754142</v>
      </c>
      <c r="ID13" s="446">
        <f>(155/HQ12-1)*100</f>
        <v>-29.513415188722149</v>
      </c>
      <c r="IE13" s="446">
        <f>(221/HR12-1)*100</f>
        <v>-20.302921024161556</v>
      </c>
      <c r="IF13" s="446">
        <f>(206/HS12-1)*100</f>
        <v>-16.96896412736799</v>
      </c>
      <c r="IG13" s="446">
        <f>(168/HT12-1)*100</f>
        <v>-21.32989932100211</v>
      </c>
      <c r="IH13" s="446">
        <f>(231/HU12-1)*100</f>
        <v>-6.496660595021253</v>
      </c>
      <c r="II13" s="446">
        <f>(197/HV12-1)*100</f>
        <v>-11.500449236298294</v>
      </c>
      <c r="IJ13" s="446">
        <f>(385/HW12-1)*100</f>
        <v>-1.9283185164429284</v>
      </c>
      <c r="IK13" s="446">
        <f>(203/HX12-1)*100</f>
        <v>-8.0948931546541036</v>
      </c>
      <c r="IL13" s="478">
        <f>(2661/HY12-1)*100</f>
        <v>-57.711897402483899</v>
      </c>
      <c r="IM13" s="446">
        <f>(IM12/HZ12-1)*100</f>
        <v>-11.904993672734355</v>
      </c>
      <c r="IN13" s="506">
        <f t="shared" ref="IN13:IX13" si="95">(IN12/IA12-1)*100</f>
        <v>5.900830154812664</v>
      </c>
      <c r="IO13" s="506">
        <f t="shared" si="95"/>
        <v>10.014349697786674</v>
      </c>
      <c r="IP13" s="506">
        <f t="shared" si="95"/>
        <v>-8.0168776371308041</v>
      </c>
      <c r="IQ13" s="506">
        <f t="shared" si="95"/>
        <v>29.115558424790187</v>
      </c>
      <c r="IR13" s="506">
        <f t="shared" si="95"/>
        <v>7.1913161465400277</v>
      </c>
      <c r="IS13" s="506">
        <f t="shared" si="95"/>
        <v>-4.8520135856378044E-2</v>
      </c>
      <c r="IT13" s="506">
        <f t="shared" si="95"/>
        <v>32.65913146936348</v>
      </c>
      <c r="IU13" s="506">
        <f t="shared" si="95"/>
        <v>-6.1012548680224992</v>
      </c>
      <c r="IV13" s="506">
        <f t="shared" si="95"/>
        <v>15.169964485032983</v>
      </c>
      <c r="IW13" s="506">
        <f t="shared" si="95"/>
        <v>-49.03928655001171</v>
      </c>
      <c r="IX13" s="506">
        <f t="shared" si="95"/>
        <v>-3.7464830445727793</v>
      </c>
      <c r="IY13" s="478">
        <f>(IY12/IL12-1)*100</f>
        <v>-2.7013619554433155</v>
      </c>
      <c r="IZ13" s="506">
        <f>(IZ12/IM12-1)*100</f>
        <v>6.0773480662983381</v>
      </c>
      <c r="JA13" s="506">
        <f t="shared" ref="JA13:JE13" si="96">(JA12/IN12-1)*100</f>
        <v>-4.2372881355932197</v>
      </c>
      <c r="JB13" s="506">
        <f t="shared" si="96"/>
        <v>-13.043478260869568</v>
      </c>
      <c r="JC13" s="506">
        <f t="shared" si="96"/>
        <v>6.4220183486238591</v>
      </c>
      <c r="JD13" s="506">
        <f t="shared" si="96"/>
        <v>2.4999999999999911</v>
      </c>
      <c r="JE13" s="506">
        <f t="shared" si="96"/>
        <v>22.78481012658229</v>
      </c>
      <c r="JF13" s="506">
        <f>(JF12/206-1)*100</f>
        <v>16.990291262135916</v>
      </c>
      <c r="JG13" s="506">
        <f t="shared" ref="JG13:JK13" si="97">(JG12/IT12-1)*100</f>
        <v>-4.0358744394618835</v>
      </c>
      <c r="JH13" s="506">
        <f t="shared" si="97"/>
        <v>24.884792626728114</v>
      </c>
      <c r="JI13" s="506">
        <f t="shared" si="97"/>
        <v>12.334801762114544</v>
      </c>
      <c r="JJ13" s="506">
        <f t="shared" si="97"/>
        <v>54.591836734693878</v>
      </c>
      <c r="JK13" s="506">
        <f t="shared" si="97"/>
        <v>38.46153846153846</v>
      </c>
      <c r="JL13" s="531">
        <f>(JL12/2589-1)*100</f>
        <v>12.78485901892623</v>
      </c>
      <c r="JM13" s="506">
        <f t="shared" si="29"/>
        <v>5.7291666666666741</v>
      </c>
      <c r="JN13" s="572">
        <f t="shared" si="29"/>
        <v>43.805309734513266</v>
      </c>
    </row>
    <row r="14" spans="1:292" x14ac:dyDescent="0.15">
      <c r="A14" s="554"/>
      <c r="B14" s="15" t="s">
        <v>35</v>
      </c>
      <c r="C14" s="27">
        <v>577</v>
      </c>
      <c r="D14" s="28">
        <v>788</v>
      </c>
      <c r="E14" s="29">
        <v>795</v>
      </c>
      <c r="F14" s="28">
        <v>585</v>
      </c>
      <c r="G14" s="29">
        <v>517</v>
      </c>
      <c r="H14" s="28">
        <v>446</v>
      </c>
      <c r="I14" s="29">
        <v>393</v>
      </c>
      <c r="J14" s="28">
        <v>364</v>
      </c>
      <c r="K14" s="29">
        <v>360</v>
      </c>
      <c r="L14" s="134">
        <v>218</v>
      </c>
      <c r="M14" s="29">
        <v>200</v>
      </c>
      <c r="N14" s="25">
        <f>SUM(AA14:AL14)</f>
        <v>248</v>
      </c>
      <c r="O14" s="29">
        <v>14</v>
      </c>
      <c r="P14" s="28">
        <v>16</v>
      </c>
      <c r="Q14" s="28">
        <v>17</v>
      </c>
      <c r="R14" s="28">
        <v>15</v>
      </c>
      <c r="S14" s="28">
        <v>15</v>
      </c>
      <c r="T14" s="28">
        <v>16</v>
      </c>
      <c r="U14" s="28">
        <v>18</v>
      </c>
      <c r="V14" s="28">
        <v>14</v>
      </c>
      <c r="W14" s="28">
        <v>17</v>
      </c>
      <c r="X14" s="28">
        <v>19</v>
      </c>
      <c r="Y14" s="28">
        <v>21</v>
      </c>
      <c r="Z14" s="28">
        <v>18</v>
      </c>
      <c r="AA14" s="29">
        <v>17</v>
      </c>
      <c r="AB14" s="28">
        <v>22</v>
      </c>
      <c r="AC14" s="29">
        <v>21</v>
      </c>
      <c r="AD14" s="28">
        <v>18</v>
      </c>
      <c r="AE14" s="29">
        <v>20</v>
      </c>
      <c r="AF14" s="28">
        <v>22</v>
      </c>
      <c r="AG14" s="29">
        <v>18</v>
      </c>
      <c r="AH14" s="28">
        <v>19</v>
      </c>
      <c r="AI14" s="29">
        <v>21</v>
      </c>
      <c r="AJ14" s="28">
        <v>21</v>
      </c>
      <c r="AK14" s="29">
        <v>23</v>
      </c>
      <c r="AL14" s="28">
        <v>26</v>
      </c>
      <c r="AM14" s="23">
        <f>SUM(AN14:AY14)</f>
        <v>258</v>
      </c>
      <c r="AN14" s="118">
        <v>21</v>
      </c>
      <c r="AO14" s="28">
        <v>25</v>
      </c>
      <c r="AP14" s="88">
        <v>24</v>
      </c>
      <c r="AQ14" s="29">
        <v>24</v>
      </c>
      <c r="AR14" s="29">
        <v>20</v>
      </c>
      <c r="AS14" s="28">
        <v>20</v>
      </c>
      <c r="AT14" s="29">
        <v>21</v>
      </c>
      <c r="AU14" s="28">
        <v>20</v>
      </c>
      <c r="AV14" s="29">
        <v>20</v>
      </c>
      <c r="AW14" s="28">
        <v>21</v>
      </c>
      <c r="AX14" s="29">
        <v>22</v>
      </c>
      <c r="AY14" s="28">
        <v>20</v>
      </c>
      <c r="AZ14" s="104">
        <f>SUM(BA14:BL14)</f>
        <v>223</v>
      </c>
      <c r="BA14" s="21">
        <v>17</v>
      </c>
      <c r="BB14" s="23">
        <v>18</v>
      </c>
      <c r="BC14" s="23">
        <v>17</v>
      </c>
      <c r="BD14" s="23">
        <v>16</v>
      </c>
      <c r="BE14" s="23">
        <v>15</v>
      </c>
      <c r="BF14" s="23">
        <v>19</v>
      </c>
      <c r="BG14" s="23">
        <v>19</v>
      </c>
      <c r="BH14" s="23">
        <v>16</v>
      </c>
      <c r="BI14" s="23">
        <v>19</v>
      </c>
      <c r="BJ14" s="23">
        <v>22</v>
      </c>
      <c r="BK14" s="23">
        <v>23</v>
      </c>
      <c r="BL14" s="23">
        <v>22</v>
      </c>
      <c r="BM14" s="23">
        <v>21</v>
      </c>
      <c r="BN14" s="23">
        <v>26</v>
      </c>
      <c r="BO14" s="23">
        <v>26</v>
      </c>
      <c r="BP14" s="23">
        <v>26</v>
      </c>
      <c r="BQ14" s="23">
        <v>24</v>
      </c>
      <c r="BR14" s="23">
        <v>36</v>
      </c>
      <c r="BS14" s="23">
        <v>37</v>
      </c>
      <c r="BT14" s="23">
        <v>33</v>
      </c>
      <c r="BU14" s="23">
        <v>36</v>
      </c>
      <c r="BV14" s="23">
        <v>36</v>
      </c>
      <c r="BW14" s="23">
        <v>34</v>
      </c>
      <c r="BX14" s="23">
        <v>37</v>
      </c>
      <c r="BY14" s="104">
        <f>SUM(BM14:BX14)</f>
        <v>372</v>
      </c>
      <c r="BZ14" s="117">
        <v>33</v>
      </c>
      <c r="CA14" s="23">
        <v>38</v>
      </c>
      <c r="CB14" s="23">
        <v>42</v>
      </c>
      <c r="CC14" s="23">
        <v>40</v>
      </c>
      <c r="CD14" s="19">
        <v>37</v>
      </c>
      <c r="CE14" s="154">
        <v>43</v>
      </c>
      <c r="CF14" s="154">
        <v>42</v>
      </c>
      <c r="CG14" s="154">
        <v>41</v>
      </c>
      <c r="CH14" s="154">
        <v>50</v>
      </c>
      <c r="CI14" s="154">
        <v>54</v>
      </c>
      <c r="CJ14" s="19">
        <v>55</v>
      </c>
      <c r="CK14" s="15">
        <v>55</v>
      </c>
      <c r="CL14" s="311">
        <f>SUM(BZ14:CK14)</f>
        <v>530</v>
      </c>
      <c r="CM14" s="293">
        <v>44</v>
      </c>
      <c r="CN14" s="294">
        <v>51</v>
      </c>
      <c r="CO14" s="294">
        <v>55</v>
      </c>
      <c r="CP14" s="325">
        <v>55</v>
      </c>
      <c r="CQ14" s="332">
        <v>48</v>
      </c>
      <c r="CR14" s="332">
        <v>48</v>
      </c>
      <c r="CS14" s="332">
        <v>64</v>
      </c>
      <c r="CT14" s="332">
        <v>62</v>
      </c>
      <c r="CU14" s="332">
        <v>67</v>
      </c>
      <c r="CV14" s="332">
        <v>67</v>
      </c>
      <c r="CW14" s="325">
        <v>77</v>
      </c>
      <c r="CX14" s="315">
        <v>77</v>
      </c>
      <c r="CY14" s="311">
        <f>SUM(CM14:CX14)</f>
        <v>715</v>
      </c>
      <c r="CZ14" s="325">
        <v>75</v>
      </c>
      <c r="DA14" s="325">
        <v>88</v>
      </c>
      <c r="DB14" s="325">
        <v>71</v>
      </c>
      <c r="DC14" s="325">
        <v>65</v>
      </c>
      <c r="DD14" s="325">
        <v>61</v>
      </c>
      <c r="DE14" s="325">
        <v>70</v>
      </c>
      <c r="DF14" s="325">
        <v>66</v>
      </c>
      <c r="DG14" s="325">
        <v>63</v>
      </c>
      <c r="DH14" s="325">
        <v>70</v>
      </c>
      <c r="DI14" s="325">
        <v>65</v>
      </c>
      <c r="DJ14" s="325">
        <v>58</v>
      </c>
      <c r="DK14" s="325">
        <v>42</v>
      </c>
      <c r="DL14" s="311">
        <f>SUM(CZ14:DK14)</f>
        <v>794</v>
      </c>
      <c r="DM14" s="325">
        <v>46</v>
      </c>
      <c r="DN14" s="325">
        <v>52</v>
      </c>
      <c r="DO14" s="325">
        <v>50</v>
      </c>
      <c r="DP14" s="325">
        <v>46</v>
      </c>
      <c r="DQ14" s="325">
        <v>50</v>
      </c>
      <c r="DR14" s="325">
        <v>91</v>
      </c>
      <c r="DS14" s="325">
        <v>85</v>
      </c>
      <c r="DT14" s="325">
        <v>103</v>
      </c>
      <c r="DU14" s="325">
        <v>88</v>
      </c>
      <c r="DV14" s="325">
        <v>43</v>
      </c>
      <c r="DW14" s="325">
        <v>59</v>
      </c>
      <c r="DX14" s="294">
        <v>57</v>
      </c>
      <c r="DY14" s="402">
        <f>SUM(DM14:DX14)</f>
        <v>770</v>
      </c>
      <c r="DZ14" s="325">
        <v>50</v>
      </c>
      <c r="EA14" s="325">
        <v>56</v>
      </c>
      <c r="EB14" s="325">
        <v>54</v>
      </c>
      <c r="EC14" s="325">
        <v>53</v>
      </c>
      <c r="ED14" s="325">
        <v>52</v>
      </c>
      <c r="EE14" s="325">
        <v>63</v>
      </c>
      <c r="EF14" s="325">
        <v>71</v>
      </c>
      <c r="EG14" s="325">
        <v>65</v>
      </c>
      <c r="EH14" s="325">
        <v>67</v>
      </c>
      <c r="EI14" s="325">
        <v>57</v>
      </c>
      <c r="EJ14" s="325">
        <v>43</v>
      </c>
      <c r="EK14" s="325">
        <v>29</v>
      </c>
      <c r="EL14" s="402">
        <f>SUM(DZ14:EK14)</f>
        <v>660</v>
      </c>
      <c r="EM14" s="325">
        <v>18</v>
      </c>
      <c r="EN14" s="325">
        <v>16</v>
      </c>
      <c r="EO14" s="325">
        <v>10</v>
      </c>
      <c r="EP14" s="325">
        <v>9.8719999999999999</v>
      </c>
      <c r="EQ14" s="325">
        <v>9.0790000000000006</v>
      </c>
      <c r="ER14" s="325">
        <v>13.903</v>
      </c>
      <c r="ES14" s="325">
        <v>17.140999999999998</v>
      </c>
      <c r="ET14" s="325">
        <v>12.897</v>
      </c>
      <c r="EU14" s="325">
        <v>17.306999999999999</v>
      </c>
      <c r="EV14" s="325">
        <v>17.754999999999999</v>
      </c>
      <c r="EW14" s="325">
        <v>16.248999999999999</v>
      </c>
      <c r="EX14" s="325">
        <v>21.234999999999999</v>
      </c>
      <c r="EY14" s="402">
        <f>SUM(EM14:EX14)</f>
        <v>179.43799999999999</v>
      </c>
      <c r="EZ14" s="325">
        <v>12.897</v>
      </c>
      <c r="FA14" s="325">
        <v>14.391</v>
      </c>
      <c r="FB14" s="325">
        <v>12.315</v>
      </c>
      <c r="FC14" s="325">
        <v>8.4480000000000004</v>
      </c>
      <c r="FD14" s="325">
        <v>8.7349999999999994</v>
      </c>
      <c r="FE14" s="325">
        <v>9.8650000000000002</v>
      </c>
      <c r="FF14" s="325">
        <v>8.5150000000000006</v>
      </c>
      <c r="FG14" s="325">
        <v>7.2859999999999996</v>
      </c>
      <c r="FH14" s="325">
        <v>8.484</v>
      </c>
      <c r="FI14" s="325">
        <v>9.1859999999999999</v>
      </c>
      <c r="FJ14" s="325">
        <v>9.4529999999999994</v>
      </c>
      <c r="FK14" s="325">
        <v>10.89</v>
      </c>
      <c r="FL14" s="402">
        <f>SUM(EZ14:FK14)</f>
        <v>120.46499999999999</v>
      </c>
      <c r="FM14" s="325">
        <v>9.0630000000000006</v>
      </c>
      <c r="FN14" s="325">
        <v>10.856</v>
      </c>
      <c r="FO14" s="325">
        <v>11.541</v>
      </c>
      <c r="FP14" s="325">
        <v>11.41</v>
      </c>
      <c r="FQ14" s="325">
        <v>9.8330000000000002</v>
      </c>
      <c r="FR14" s="325">
        <v>11.388999999999999</v>
      </c>
      <c r="FS14" s="325">
        <v>9.9429999999999996</v>
      </c>
      <c r="FT14" s="325">
        <v>9.0150000000000006</v>
      </c>
      <c r="FU14" s="325">
        <v>11.707000000000001</v>
      </c>
      <c r="FV14" s="325">
        <v>9.9740000000000002</v>
      </c>
      <c r="FW14" s="325">
        <v>11.528</v>
      </c>
      <c r="FX14" s="325">
        <v>10.651999999999999</v>
      </c>
      <c r="FY14" s="402">
        <f>SUM(FM14:FX14)</f>
        <v>126.91100000000002</v>
      </c>
      <c r="FZ14" s="325">
        <v>9.2360000000000007</v>
      </c>
      <c r="GA14" s="325">
        <v>10.054</v>
      </c>
      <c r="GB14" s="325">
        <v>11.021000000000001</v>
      </c>
      <c r="GC14" s="325">
        <v>8.6790000000000003</v>
      </c>
      <c r="GD14" s="325">
        <v>7.3070000000000004</v>
      </c>
      <c r="GE14" s="325">
        <v>6.7539999999999996</v>
      </c>
      <c r="GF14" s="325">
        <v>6.7560000000000002</v>
      </c>
      <c r="GG14" s="325">
        <v>5.9050000000000002</v>
      </c>
      <c r="GH14" s="325">
        <v>6.6</v>
      </c>
      <c r="GI14" s="325">
        <v>6.9189999999999996</v>
      </c>
      <c r="GJ14" s="325">
        <v>7.5869999999999997</v>
      </c>
      <c r="GK14" s="325">
        <v>6.3470000000000004</v>
      </c>
      <c r="GL14" s="402">
        <f>SUM(FZ14:GK14)</f>
        <v>93.164999999999992</v>
      </c>
      <c r="GM14" s="325">
        <v>6.1749999999999998</v>
      </c>
      <c r="GN14" s="325">
        <v>7.4</v>
      </c>
      <c r="GO14" s="325">
        <v>6.7069999999999999</v>
      </c>
      <c r="GP14" s="325">
        <v>16.100999999999999</v>
      </c>
      <c r="GQ14" s="325">
        <v>13.474</v>
      </c>
      <c r="GR14" s="325">
        <v>18.245999999999999</v>
      </c>
      <c r="GS14" s="325">
        <v>18.541</v>
      </c>
      <c r="GT14" s="325">
        <v>17.898</v>
      </c>
      <c r="GU14" s="325">
        <v>21.606000000000002</v>
      </c>
      <c r="GV14" s="325">
        <v>18.823</v>
      </c>
      <c r="GW14" s="325">
        <v>25.594999999999999</v>
      </c>
      <c r="GX14" s="325">
        <v>19.172000000000001</v>
      </c>
      <c r="GY14" s="402">
        <f>SUM(GM14:GX14)</f>
        <v>189.738</v>
      </c>
      <c r="GZ14" s="325">
        <v>15.425000000000001</v>
      </c>
      <c r="HA14" s="325">
        <v>23.369</v>
      </c>
      <c r="HB14" s="325">
        <v>19.876000000000001</v>
      </c>
      <c r="HC14" s="325">
        <v>20.181000000000001</v>
      </c>
      <c r="HD14" s="325">
        <v>17.789000000000001</v>
      </c>
      <c r="HE14" s="325">
        <v>19.341999999999999</v>
      </c>
      <c r="HF14" s="325">
        <v>22.327999999999999</v>
      </c>
      <c r="HG14" s="325">
        <v>17.398</v>
      </c>
      <c r="HH14" s="325">
        <v>22.439</v>
      </c>
      <c r="HI14" s="325">
        <v>24.481999999999999</v>
      </c>
      <c r="HJ14" s="325">
        <v>20.315000000000001</v>
      </c>
      <c r="HK14" s="325">
        <v>106.194</v>
      </c>
      <c r="HL14" s="402">
        <f>SUM(GZ14:HK14)</f>
        <v>329.13799999999998</v>
      </c>
      <c r="HM14" s="325">
        <v>106.53100000000001</v>
      </c>
      <c r="HN14" s="325">
        <v>160.75200000000001</v>
      </c>
      <c r="HO14" s="325">
        <v>84.335999999999999</v>
      </c>
      <c r="HP14" s="325">
        <v>31.29</v>
      </c>
      <c r="HQ14" s="294">
        <v>14.047000000000001</v>
      </c>
      <c r="HR14" s="441">
        <v>17.565999999999999</v>
      </c>
      <c r="HS14" s="447">
        <v>16.065000000000001</v>
      </c>
      <c r="HT14" s="452">
        <v>12.534000000000001</v>
      </c>
      <c r="HU14" s="452">
        <v>13.24</v>
      </c>
      <c r="HV14" s="452">
        <v>12.95</v>
      </c>
      <c r="HW14" s="452">
        <v>23.718</v>
      </c>
      <c r="HX14" s="452">
        <v>11.959</v>
      </c>
      <c r="HY14" s="481">
        <f>SUM(HM14:HX14)</f>
        <v>504.98800000000006</v>
      </c>
      <c r="HZ14" s="484">
        <v>9287</v>
      </c>
      <c r="IA14" s="484">
        <v>9950</v>
      </c>
      <c r="IB14" s="484">
        <v>10036</v>
      </c>
      <c r="IC14" s="484">
        <v>9927</v>
      </c>
      <c r="ID14" s="484">
        <v>6621</v>
      </c>
      <c r="IE14" s="484">
        <v>8968</v>
      </c>
      <c r="IF14" s="484">
        <v>9095</v>
      </c>
      <c r="IG14" s="484">
        <v>7441</v>
      </c>
      <c r="IH14" s="484">
        <v>10031</v>
      </c>
      <c r="II14" s="484">
        <v>8706</v>
      </c>
      <c r="IJ14" s="484">
        <v>18545</v>
      </c>
      <c r="IK14" s="484">
        <v>10738</v>
      </c>
      <c r="IL14" s="486">
        <f>SUM(HZ14:IK14)</f>
        <v>119345</v>
      </c>
      <c r="IM14" s="484">
        <v>10575</v>
      </c>
      <c r="IN14" s="484">
        <v>13436</v>
      </c>
      <c r="IO14" s="484">
        <v>14297</v>
      </c>
      <c r="IP14" s="484">
        <v>11834</v>
      </c>
      <c r="IQ14" s="484">
        <v>10756</v>
      </c>
      <c r="IR14" s="484">
        <v>12309</v>
      </c>
      <c r="IS14" s="484">
        <v>10909</v>
      </c>
      <c r="IT14" s="484">
        <v>11829</v>
      </c>
      <c r="IU14" s="484">
        <v>11297</v>
      </c>
      <c r="IV14" s="484">
        <v>12337</v>
      </c>
      <c r="IW14" s="484">
        <v>11928</v>
      </c>
      <c r="IX14" s="484">
        <v>12512</v>
      </c>
      <c r="IY14" s="486">
        <f>SUM(IM14:IX14)</f>
        <v>144019</v>
      </c>
      <c r="IZ14" s="484">
        <v>12872</v>
      </c>
      <c r="JA14" s="484">
        <v>16515</v>
      </c>
      <c r="JB14" s="484">
        <v>14642</v>
      </c>
      <c r="JC14" s="484">
        <v>15172</v>
      </c>
      <c r="JD14" s="484">
        <v>13842</v>
      </c>
      <c r="JE14" s="484">
        <v>20419</v>
      </c>
      <c r="JF14" s="520">
        <v>17</v>
      </c>
      <c r="JG14" s="484">
        <v>15302</v>
      </c>
      <c r="JH14" s="484">
        <v>19616</v>
      </c>
      <c r="JI14" s="484">
        <v>19050</v>
      </c>
      <c r="JJ14" s="484">
        <v>22528</v>
      </c>
      <c r="JK14" s="484">
        <v>18451</v>
      </c>
      <c r="JL14" s="529">
        <v>206</v>
      </c>
      <c r="JM14" s="467">
        <v>13309</v>
      </c>
      <c r="JN14" s="575">
        <v>21</v>
      </c>
    </row>
    <row r="15" spans="1:292" ht="14.25" thickBot="1" x14ac:dyDescent="0.2">
      <c r="A15" s="555"/>
      <c r="B15" s="36" t="s">
        <v>77</v>
      </c>
      <c r="C15" s="30"/>
      <c r="D15" s="31">
        <f t="shared" ref="D15:M15" si="98">(D14/C14-1)*100</f>
        <v>36.568457538994807</v>
      </c>
      <c r="E15" s="32">
        <f t="shared" si="98"/>
        <v>0.88832487309644659</v>
      </c>
      <c r="F15" s="31">
        <f t="shared" si="98"/>
        <v>-26.415094339622648</v>
      </c>
      <c r="G15" s="32">
        <f t="shared" si="98"/>
        <v>-11.623931623931627</v>
      </c>
      <c r="H15" s="31">
        <f t="shared" si="98"/>
        <v>-13.733075435203091</v>
      </c>
      <c r="I15" s="32">
        <f t="shared" si="98"/>
        <v>-11.88340807174888</v>
      </c>
      <c r="J15" s="31">
        <f t="shared" si="98"/>
        <v>-7.379134860050895</v>
      </c>
      <c r="K15" s="32">
        <f t="shared" si="98"/>
        <v>-1.098901098901095</v>
      </c>
      <c r="L15" s="31">
        <f t="shared" si="98"/>
        <v>-39.44444444444445</v>
      </c>
      <c r="M15" s="32">
        <f t="shared" si="98"/>
        <v>-8.2568807339449499</v>
      </c>
      <c r="N15" s="32">
        <f>(N14/M14-1)*100</f>
        <v>24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2">
        <f t="shared" ref="AA15:AL15" si="99">(AA14/O14-1)*100</f>
        <v>21.42857142857142</v>
      </c>
      <c r="AB15" s="32">
        <f t="shared" si="99"/>
        <v>37.5</v>
      </c>
      <c r="AC15" s="32">
        <f t="shared" si="99"/>
        <v>23.529411764705888</v>
      </c>
      <c r="AD15" s="32">
        <f t="shared" si="99"/>
        <v>19.999999999999996</v>
      </c>
      <c r="AE15" s="32">
        <f t="shared" si="99"/>
        <v>33.333333333333329</v>
      </c>
      <c r="AF15" s="32">
        <f t="shared" si="99"/>
        <v>37.5</v>
      </c>
      <c r="AG15" s="32">
        <f t="shared" si="99"/>
        <v>0</v>
      </c>
      <c r="AH15" s="32">
        <f t="shared" si="99"/>
        <v>35.714285714285722</v>
      </c>
      <c r="AI15" s="32">
        <f t="shared" si="99"/>
        <v>23.529411764705888</v>
      </c>
      <c r="AJ15" s="32">
        <f t="shared" si="99"/>
        <v>10.526315789473696</v>
      </c>
      <c r="AK15" s="32">
        <f t="shared" si="99"/>
        <v>9.5238095238095344</v>
      </c>
      <c r="AL15" s="89">
        <f t="shared" si="99"/>
        <v>44.444444444444443</v>
      </c>
      <c r="AM15" s="32">
        <f>(AM14/N14-1)*100</f>
        <v>4.0322580645161255</v>
      </c>
      <c r="AN15" s="114">
        <f t="shared" ref="AN15:AY15" si="100">(AN14/AA14-1)*100</f>
        <v>23.529411764705888</v>
      </c>
      <c r="AO15" s="32">
        <f t="shared" si="100"/>
        <v>13.636363636363647</v>
      </c>
      <c r="AP15" s="89">
        <f t="shared" si="100"/>
        <v>14.285714285714279</v>
      </c>
      <c r="AQ15" s="32">
        <f t="shared" si="100"/>
        <v>33.333333333333329</v>
      </c>
      <c r="AR15" s="32">
        <f t="shared" si="100"/>
        <v>0</v>
      </c>
      <c r="AS15" s="31">
        <f t="shared" si="100"/>
        <v>-9.0909090909090935</v>
      </c>
      <c r="AT15" s="32">
        <f t="shared" si="100"/>
        <v>16.666666666666675</v>
      </c>
      <c r="AU15" s="31">
        <f t="shared" si="100"/>
        <v>5.2631578947368363</v>
      </c>
      <c r="AV15" s="32">
        <f t="shared" si="100"/>
        <v>-4.7619047619047672</v>
      </c>
      <c r="AW15" s="31">
        <f t="shared" si="100"/>
        <v>0</v>
      </c>
      <c r="AX15" s="32">
        <f t="shared" si="100"/>
        <v>-4.3478260869565188</v>
      </c>
      <c r="AY15" s="31">
        <f t="shared" si="100"/>
        <v>-23.076923076923073</v>
      </c>
      <c r="AZ15" s="107">
        <f t="shared" ref="AZ15:BL15" si="101">(AZ14/AM14-1)*100</f>
        <v>-13.56589147286822</v>
      </c>
      <c r="BA15" s="124">
        <f t="shared" si="101"/>
        <v>-19.047619047619047</v>
      </c>
      <c r="BB15" s="32">
        <f t="shared" si="101"/>
        <v>-28.000000000000004</v>
      </c>
      <c r="BC15" s="32">
        <f t="shared" si="101"/>
        <v>-29.166666666666664</v>
      </c>
      <c r="BD15" s="32">
        <f t="shared" si="101"/>
        <v>-33.333333333333336</v>
      </c>
      <c r="BE15" s="32">
        <f t="shared" si="101"/>
        <v>-25</v>
      </c>
      <c r="BF15" s="32">
        <f t="shared" si="101"/>
        <v>-5.0000000000000044</v>
      </c>
      <c r="BG15" s="32">
        <f t="shared" si="101"/>
        <v>-9.5238095238095237</v>
      </c>
      <c r="BH15" s="32">
        <f t="shared" si="101"/>
        <v>-19.999999999999996</v>
      </c>
      <c r="BI15" s="32">
        <f t="shared" si="101"/>
        <v>-5.0000000000000044</v>
      </c>
      <c r="BJ15" s="32">
        <f t="shared" si="101"/>
        <v>4.7619047619047672</v>
      </c>
      <c r="BK15" s="32">
        <f t="shared" si="101"/>
        <v>4.5454545454545414</v>
      </c>
      <c r="BL15" s="32">
        <f t="shared" si="101"/>
        <v>10.000000000000009</v>
      </c>
      <c r="BM15" s="32">
        <f t="shared" ref="BM15:BX15" si="102">(BM14/BA14-1)*100</f>
        <v>23.529411764705888</v>
      </c>
      <c r="BN15" s="32">
        <f t="shared" si="102"/>
        <v>44.444444444444443</v>
      </c>
      <c r="BO15" s="32">
        <f t="shared" si="102"/>
        <v>52.941176470588225</v>
      </c>
      <c r="BP15" s="32">
        <f t="shared" si="102"/>
        <v>62.5</v>
      </c>
      <c r="BQ15" s="32">
        <f t="shared" si="102"/>
        <v>60.000000000000007</v>
      </c>
      <c r="BR15" s="32">
        <f t="shared" si="102"/>
        <v>89.473684210526301</v>
      </c>
      <c r="BS15" s="32">
        <f t="shared" si="102"/>
        <v>94.736842105263165</v>
      </c>
      <c r="BT15" s="32">
        <f t="shared" si="102"/>
        <v>106.25</v>
      </c>
      <c r="BU15" s="32">
        <f t="shared" si="102"/>
        <v>89.473684210526301</v>
      </c>
      <c r="BV15" s="32">
        <f t="shared" si="102"/>
        <v>63.636363636363647</v>
      </c>
      <c r="BW15" s="32">
        <f t="shared" si="102"/>
        <v>47.826086956521728</v>
      </c>
      <c r="BX15" s="32">
        <f t="shared" si="102"/>
        <v>68.181818181818187</v>
      </c>
      <c r="BY15" s="106">
        <f>(BY14/AZ14-1)*100</f>
        <v>66.816143497757835</v>
      </c>
      <c r="BZ15" s="114">
        <f t="shared" ref="BZ15:DE15" si="103">(BZ14/BM14-1)*100</f>
        <v>57.142857142857139</v>
      </c>
      <c r="CA15" s="32">
        <f t="shared" si="103"/>
        <v>46.153846153846146</v>
      </c>
      <c r="CB15" s="32">
        <f t="shared" si="103"/>
        <v>61.53846153846154</v>
      </c>
      <c r="CC15" s="32">
        <f t="shared" si="103"/>
        <v>53.846153846153854</v>
      </c>
      <c r="CD15" s="32">
        <f t="shared" si="103"/>
        <v>54.166666666666671</v>
      </c>
      <c r="CE15" s="89">
        <f t="shared" si="103"/>
        <v>19.444444444444443</v>
      </c>
      <c r="CF15" s="89">
        <f t="shared" si="103"/>
        <v>13.513513513513509</v>
      </c>
      <c r="CG15" s="89">
        <f t="shared" si="103"/>
        <v>24.242424242424242</v>
      </c>
      <c r="CH15" s="89">
        <f t="shared" si="103"/>
        <v>38.888888888888886</v>
      </c>
      <c r="CI15" s="89">
        <f t="shared" si="103"/>
        <v>50</v>
      </c>
      <c r="CJ15" s="108">
        <f t="shared" si="103"/>
        <v>61.764705882352942</v>
      </c>
      <c r="CK15" s="307">
        <f t="shared" si="103"/>
        <v>48.648648648648638</v>
      </c>
      <c r="CL15" s="308">
        <f t="shared" si="103"/>
        <v>42.473118279569903</v>
      </c>
      <c r="CM15" s="287">
        <f t="shared" si="103"/>
        <v>33.333333333333329</v>
      </c>
      <c r="CN15" s="288">
        <f t="shared" si="103"/>
        <v>34.210526315789465</v>
      </c>
      <c r="CO15" s="288">
        <f t="shared" si="103"/>
        <v>30.952380952380953</v>
      </c>
      <c r="CP15" s="326">
        <f t="shared" si="103"/>
        <v>37.5</v>
      </c>
      <c r="CQ15" s="333">
        <f t="shared" si="103"/>
        <v>29.729729729729737</v>
      </c>
      <c r="CR15" s="333">
        <f t="shared" si="103"/>
        <v>11.627906976744185</v>
      </c>
      <c r="CS15" s="333">
        <f t="shared" si="103"/>
        <v>52.380952380952372</v>
      </c>
      <c r="CT15" s="333">
        <f t="shared" si="103"/>
        <v>51.219512195121951</v>
      </c>
      <c r="CU15" s="333">
        <f t="shared" si="103"/>
        <v>34.000000000000007</v>
      </c>
      <c r="CV15" s="333">
        <f t="shared" si="103"/>
        <v>24.074074074074069</v>
      </c>
      <c r="CW15" s="326">
        <f t="shared" si="103"/>
        <v>39.999999999999993</v>
      </c>
      <c r="CX15" s="316">
        <f t="shared" si="103"/>
        <v>39.999999999999993</v>
      </c>
      <c r="CY15" s="308">
        <f t="shared" si="103"/>
        <v>34.905660377358494</v>
      </c>
      <c r="CZ15" s="326">
        <f t="shared" si="103"/>
        <v>70.454545454545453</v>
      </c>
      <c r="DA15" s="326">
        <f t="shared" si="103"/>
        <v>72.54901960784315</v>
      </c>
      <c r="DB15" s="326">
        <f t="shared" si="103"/>
        <v>29.090909090909101</v>
      </c>
      <c r="DC15" s="326">
        <f t="shared" si="103"/>
        <v>18.181818181818187</v>
      </c>
      <c r="DD15" s="326">
        <f t="shared" si="103"/>
        <v>27.083333333333325</v>
      </c>
      <c r="DE15" s="326">
        <f t="shared" si="103"/>
        <v>45.833333333333329</v>
      </c>
      <c r="DF15" s="326">
        <f>(DF14/CS14-1)*100</f>
        <v>3.125</v>
      </c>
      <c r="DG15" s="326">
        <f>(DG14/CT14-1)*100</f>
        <v>1.6129032258064502</v>
      </c>
      <c r="DH15" s="326">
        <f>(DH14/CT14-1)*100</f>
        <v>12.903225806451623</v>
      </c>
      <c r="DI15" s="326">
        <f>(DI14/CU14-1)*100</f>
        <v>-2.9850746268656692</v>
      </c>
      <c r="DJ15" s="326">
        <f>(DJ14/CV14-1)*100</f>
        <v>-13.432835820895528</v>
      </c>
      <c r="DK15" s="326">
        <f>(DK14/CW14-1)*100</f>
        <v>-45.45454545454546</v>
      </c>
      <c r="DL15" s="308">
        <f t="shared" ref="DL15:EL15" si="104">(DL14/CY14-1)*100</f>
        <v>11.04895104895105</v>
      </c>
      <c r="DM15" s="326">
        <f t="shared" si="104"/>
        <v>-38.666666666666671</v>
      </c>
      <c r="DN15" s="326">
        <f t="shared" si="104"/>
        <v>-40.909090909090907</v>
      </c>
      <c r="DO15" s="326">
        <f t="shared" si="104"/>
        <v>-29.577464788732399</v>
      </c>
      <c r="DP15" s="326">
        <f t="shared" si="104"/>
        <v>-29.230769230769226</v>
      </c>
      <c r="DQ15" s="326">
        <f t="shared" si="104"/>
        <v>-18.032786885245898</v>
      </c>
      <c r="DR15" s="326">
        <f t="shared" si="104"/>
        <v>30.000000000000004</v>
      </c>
      <c r="DS15" s="326">
        <f t="shared" si="104"/>
        <v>28.787878787878785</v>
      </c>
      <c r="DT15" s="326">
        <f t="shared" si="104"/>
        <v>63.492063492063487</v>
      </c>
      <c r="DU15" s="326">
        <f t="shared" si="104"/>
        <v>25.714285714285712</v>
      </c>
      <c r="DV15" s="326">
        <f t="shared" si="104"/>
        <v>-33.846153846153847</v>
      </c>
      <c r="DW15" s="326">
        <f t="shared" si="104"/>
        <v>1.7241379310344751</v>
      </c>
      <c r="DX15" s="288">
        <f t="shared" si="104"/>
        <v>35.714285714285722</v>
      </c>
      <c r="DY15" s="399">
        <f t="shared" si="104"/>
        <v>-3.0226700251889116</v>
      </c>
      <c r="DZ15" s="326">
        <f t="shared" si="104"/>
        <v>8.6956521739130377</v>
      </c>
      <c r="EA15" s="326">
        <f t="shared" si="104"/>
        <v>7.6923076923076872</v>
      </c>
      <c r="EB15" s="326">
        <f t="shared" si="104"/>
        <v>8.0000000000000071</v>
      </c>
      <c r="EC15" s="326">
        <f t="shared" si="104"/>
        <v>15.217391304347828</v>
      </c>
      <c r="ED15" s="326">
        <f t="shared" si="104"/>
        <v>4.0000000000000036</v>
      </c>
      <c r="EE15" s="326">
        <f t="shared" si="104"/>
        <v>-30.76923076923077</v>
      </c>
      <c r="EF15" s="326">
        <f t="shared" si="104"/>
        <v>-16.470588235294116</v>
      </c>
      <c r="EG15" s="326">
        <f t="shared" si="104"/>
        <v>-36.89320388349514</v>
      </c>
      <c r="EH15" s="326">
        <f t="shared" si="104"/>
        <v>-23.863636363636363</v>
      </c>
      <c r="EI15" s="326">
        <f t="shared" si="104"/>
        <v>32.558139534883715</v>
      </c>
      <c r="EJ15" s="326">
        <f t="shared" si="104"/>
        <v>-27.118644067796616</v>
      </c>
      <c r="EK15" s="326">
        <f t="shared" si="104"/>
        <v>-49.122807017543856</v>
      </c>
      <c r="EL15" s="399">
        <f t="shared" si="104"/>
        <v>-14.28571428571429</v>
      </c>
      <c r="EM15" s="326">
        <f t="shared" ref="EM15:EX15" si="105">(EM14/DZ14-1)*100</f>
        <v>-64</v>
      </c>
      <c r="EN15" s="326">
        <f t="shared" si="105"/>
        <v>-71.428571428571431</v>
      </c>
      <c r="EO15" s="326">
        <f t="shared" si="105"/>
        <v>-81.481481481481495</v>
      </c>
      <c r="EP15" s="326">
        <f t="shared" si="105"/>
        <v>-81.37358490566038</v>
      </c>
      <c r="EQ15" s="326">
        <f t="shared" si="105"/>
        <v>-82.540384615384625</v>
      </c>
      <c r="ER15" s="326">
        <f t="shared" si="105"/>
        <v>-77.93174603174603</v>
      </c>
      <c r="ES15" s="326">
        <f t="shared" si="105"/>
        <v>-75.857746478873239</v>
      </c>
      <c r="ET15" s="326">
        <f t="shared" si="105"/>
        <v>-80.158461538461538</v>
      </c>
      <c r="EU15" s="326">
        <f t="shared" si="105"/>
        <v>-74.168656716417914</v>
      </c>
      <c r="EV15" s="326">
        <f t="shared" si="105"/>
        <v>-68.850877192982466</v>
      </c>
      <c r="EW15" s="326">
        <f t="shared" si="105"/>
        <v>-62.211627906976744</v>
      </c>
      <c r="EX15" s="326">
        <f t="shared" si="105"/>
        <v>-26.775862068965516</v>
      </c>
      <c r="EY15" s="399">
        <f t="shared" ref="EY15:FX15" si="106">(EY14/EL14-1)*100</f>
        <v>-72.812424242424242</v>
      </c>
      <c r="EZ15" s="326">
        <f t="shared" si="106"/>
        <v>-28.349999999999998</v>
      </c>
      <c r="FA15" s="326">
        <f t="shared" si="106"/>
        <v>-10.05625</v>
      </c>
      <c r="FB15" s="326">
        <f t="shared" si="106"/>
        <v>23.150000000000006</v>
      </c>
      <c r="FC15" s="326">
        <f t="shared" si="106"/>
        <v>-14.424635332252834</v>
      </c>
      <c r="FD15" s="326">
        <f t="shared" si="106"/>
        <v>-3.7889635422403423</v>
      </c>
      <c r="FE15" s="326">
        <f t="shared" si="106"/>
        <v>-29.044091203337409</v>
      </c>
      <c r="FF15" s="326">
        <f t="shared" si="106"/>
        <v>-50.323785076716646</v>
      </c>
      <c r="FG15" s="326">
        <f t="shared" si="106"/>
        <v>-43.506241761650003</v>
      </c>
      <c r="FH15" s="326">
        <f t="shared" si="106"/>
        <v>-50.979372508233652</v>
      </c>
      <c r="FI15" s="326">
        <f t="shared" si="106"/>
        <v>-48.262461278513094</v>
      </c>
      <c r="FJ15" s="326">
        <f t="shared" si="106"/>
        <v>-41.824112253061728</v>
      </c>
      <c r="FK15" s="326">
        <f t="shared" si="106"/>
        <v>-48.716741229102887</v>
      </c>
      <c r="FL15" s="399">
        <f t="shared" si="106"/>
        <v>-32.86539083137351</v>
      </c>
      <c r="FM15" s="326">
        <f t="shared" si="106"/>
        <v>-29.727843684577802</v>
      </c>
      <c r="FN15" s="326">
        <f t="shared" si="106"/>
        <v>-24.563963588353833</v>
      </c>
      <c r="FO15" s="326">
        <f t="shared" si="106"/>
        <v>-6.2850182704019435</v>
      </c>
      <c r="FP15" s="326">
        <f t="shared" si="106"/>
        <v>35.061553030303031</v>
      </c>
      <c r="FQ15" s="326">
        <f t="shared" si="106"/>
        <v>12.570120206067559</v>
      </c>
      <c r="FR15" s="326">
        <f t="shared" si="106"/>
        <v>15.448555499239735</v>
      </c>
      <c r="FS15" s="326">
        <f t="shared" si="106"/>
        <v>16.770405167351711</v>
      </c>
      <c r="FT15" s="326">
        <f t="shared" si="106"/>
        <v>23.730441943453219</v>
      </c>
      <c r="FU15" s="326">
        <f t="shared" si="106"/>
        <v>37.989156058463003</v>
      </c>
      <c r="FV15" s="326">
        <f t="shared" si="106"/>
        <v>8.5782712823862397</v>
      </c>
      <c r="FW15" s="326">
        <f t="shared" si="106"/>
        <v>21.950703480376621</v>
      </c>
      <c r="FX15" s="326">
        <f t="shared" si="106"/>
        <v>-2.1854912764003753</v>
      </c>
      <c r="FY15" s="399">
        <f t="shared" ref="FY15:HY15" si="107">(FY14/FL14-1)*100</f>
        <v>5.3509318059187461</v>
      </c>
      <c r="FZ15" s="326">
        <f t="shared" si="107"/>
        <v>1.908860200816509</v>
      </c>
      <c r="GA15" s="326">
        <f t="shared" si="107"/>
        <v>-7.387619749447305</v>
      </c>
      <c r="GB15" s="326">
        <f t="shared" si="107"/>
        <v>-4.5056754180746843</v>
      </c>
      <c r="GC15" s="326">
        <f t="shared" si="107"/>
        <v>-23.935144609991234</v>
      </c>
      <c r="GD15" s="326">
        <f t="shared" si="107"/>
        <v>-25.689006406996839</v>
      </c>
      <c r="GE15" s="326">
        <f t="shared" si="107"/>
        <v>-40.697163930108005</v>
      </c>
      <c r="GF15" s="326">
        <f t="shared" si="107"/>
        <v>-32.052700392235735</v>
      </c>
      <c r="GG15" s="326">
        <f t="shared" si="107"/>
        <v>-34.498058790904054</v>
      </c>
      <c r="GH15" s="326">
        <f t="shared" si="107"/>
        <v>-43.623473135730762</v>
      </c>
      <c r="GI15" s="326">
        <f t="shared" si="107"/>
        <v>-30.629637056346503</v>
      </c>
      <c r="GJ15" s="326">
        <f t="shared" si="107"/>
        <v>-34.186328938237345</v>
      </c>
      <c r="GK15" s="326">
        <f t="shared" si="107"/>
        <v>-40.414945550131421</v>
      </c>
      <c r="GL15" s="399">
        <f t="shared" si="107"/>
        <v>-26.590287681918845</v>
      </c>
      <c r="GM15" s="326">
        <f t="shared" si="107"/>
        <v>-33.142052836725867</v>
      </c>
      <c r="GN15" s="326">
        <f t="shared" si="107"/>
        <v>-26.397453749751342</v>
      </c>
      <c r="GO15" s="326">
        <f t="shared" si="107"/>
        <v>-39.143453407131844</v>
      </c>
      <c r="GP15" s="326">
        <f t="shared" si="107"/>
        <v>85.516764604217059</v>
      </c>
      <c r="GQ15" s="326">
        <f t="shared" si="107"/>
        <v>84.3985219652388</v>
      </c>
      <c r="GR15" s="326">
        <f t="shared" si="107"/>
        <v>170.15102161681966</v>
      </c>
      <c r="GS15" s="326">
        <f t="shared" si="107"/>
        <v>174.43753700414445</v>
      </c>
      <c r="GT15" s="326">
        <f t="shared" si="107"/>
        <v>203.09906858594408</v>
      </c>
      <c r="GU15" s="326">
        <f t="shared" si="107"/>
        <v>227.3636363636364</v>
      </c>
      <c r="GV15" s="326">
        <f t="shared" si="107"/>
        <v>172.04798381268972</v>
      </c>
      <c r="GW15" s="326">
        <f t="shared" si="107"/>
        <v>237.35336760247793</v>
      </c>
      <c r="GX15" s="326">
        <f t="shared" si="107"/>
        <v>202.06396722861194</v>
      </c>
      <c r="GY15" s="399">
        <f t="shared" si="107"/>
        <v>103.65802608275642</v>
      </c>
      <c r="GZ15" s="326">
        <f t="shared" si="107"/>
        <v>149.79757085020245</v>
      </c>
      <c r="HA15" s="326">
        <f t="shared" si="107"/>
        <v>215.79729729729729</v>
      </c>
      <c r="HB15" s="326">
        <f t="shared" si="107"/>
        <v>196.34710004472939</v>
      </c>
      <c r="HC15" s="326">
        <f t="shared" si="107"/>
        <v>25.340040991242784</v>
      </c>
      <c r="HD15" s="326">
        <f t="shared" si="107"/>
        <v>32.024640047498899</v>
      </c>
      <c r="HE15" s="326">
        <f t="shared" si="107"/>
        <v>6.0067960100844031</v>
      </c>
      <c r="HF15" s="326">
        <f t="shared" si="107"/>
        <v>20.425004045089246</v>
      </c>
      <c r="HG15" s="326">
        <f t="shared" si="107"/>
        <v>-2.7936082243826155</v>
      </c>
      <c r="HH15" s="326">
        <f t="shared" si="107"/>
        <v>3.8554105341108924</v>
      </c>
      <c r="HI15" s="326">
        <f t="shared" si="107"/>
        <v>30.064283057961006</v>
      </c>
      <c r="HJ15" s="326">
        <f t="shared" si="107"/>
        <v>-20.629029107247497</v>
      </c>
      <c r="HK15" s="326">
        <f t="shared" si="107"/>
        <v>453.90152305445446</v>
      </c>
      <c r="HL15" s="399">
        <f t="shared" si="107"/>
        <v>73.46973194615731</v>
      </c>
      <c r="HM15" s="326">
        <f t="shared" si="107"/>
        <v>590.63857374392217</v>
      </c>
      <c r="HN15" s="326">
        <f t="shared" si="107"/>
        <v>587.88566049039332</v>
      </c>
      <c r="HO15" s="326">
        <f t="shared" si="107"/>
        <v>324.31072650432674</v>
      </c>
      <c r="HP15" s="326">
        <f t="shared" si="107"/>
        <v>55.046826222684686</v>
      </c>
      <c r="HQ15" s="288">
        <f t="shared" si="107"/>
        <v>-21.035471358704815</v>
      </c>
      <c r="HR15" s="442">
        <f t="shared" si="107"/>
        <v>-9.1820907868886295</v>
      </c>
      <c r="HS15" s="448">
        <f t="shared" si="107"/>
        <v>-28.049982085274085</v>
      </c>
      <c r="HT15" s="448">
        <f t="shared" si="107"/>
        <v>-27.957236463961365</v>
      </c>
      <c r="HU15" s="448">
        <f t="shared" si="107"/>
        <v>-40.995588038682648</v>
      </c>
      <c r="HV15" s="448">
        <f t="shared" si="107"/>
        <v>-47.10399477166898</v>
      </c>
      <c r="HW15" s="448">
        <f t="shared" si="107"/>
        <v>16.75116908688161</v>
      </c>
      <c r="HX15" s="448">
        <f t="shared" si="107"/>
        <v>-88.738535133811709</v>
      </c>
      <c r="HY15" s="478">
        <f t="shared" si="107"/>
        <v>53.427437731285998</v>
      </c>
      <c r="HZ15" s="448">
        <f>(9/107-1)*100</f>
        <v>-91.588785046728972</v>
      </c>
      <c r="IA15" s="448">
        <f>(10/161-1)*100</f>
        <v>-93.788819875776397</v>
      </c>
      <c r="IB15" s="448">
        <f>(10/HO14-1)*100</f>
        <v>-88.142667425535947</v>
      </c>
      <c r="IC15" s="448">
        <f>(10/HP14-1)*100</f>
        <v>-68.040907638223075</v>
      </c>
      <c r="ID15" s="448">
        <f>(7/HQ14-1)*100</f>
        <v>-50.167295507937638</v>
      </c>
      <c r="IE15" s="448">
        <f>(9/HR14-1)*100</f>
        <v>-48.764659000341567</v>
      </c>
      <c r="IF15" s="448">
        <f>(9/HS14-1)*100</f>
        <v>-43.977591036414566</v>
      </c>
      <c r="IG15" s="448">
        <f>(7/HT14-1)*100</f>
        <v>-44.15190681346737</v>
      </c>
      <c r="IH15" s="448">
        <f>(10/HU14-1)*100</f>
        <v>-24.471299093655585</v>
      </c>
      <c r="II15" s="448">
        <f>(9/HV14-1)*100</f>
        <v>-30.501930501930495</v>
      </c>
      <c r="IJ15" s="448">
        <f>(19/HW14-1)*100</f>
        <v>-19.892065098237623</v>
      </c>
      <c r="IK15" s="448">
        <f>(11/HX14-1)*100</f>
        <v>-8.01906513922569</v>
      </c>
      <c r="IL15" s="482">
        <f>(119/HY14-1)*100</f>
        <v>-76.435083605947071</v>
      </c>
      <c r="IM15" s="448">
        <f>(IM14/HZ14-1)*100</f>
        <v>13.868848928609889</v>
      </c>
      <c r="IN15" s="507">
        <f t="shared" ref="IN15:IX15" si="108">(IN14/IA14-1)*100</f>
        <v>35.035175879396995</v>
      </c>
      <c r="IO15" s="507">
        <f t="shared" si="108"/>
        <v>42.457154244719007</v>
      </c>
      <c r="IP15" s="507">
        <f t="shared" si="108"/>
        <v>19.210234713407882</v>
      </c>
      <c r="IQ15" s="507">
        <f t="shared" si="108"/>
        <v>62.452801691587382</v>
      </c>
      <c r="IR15" s="507">
        <f t="shared" si="108"/>
        <v>37.254683318465666</v>
      </c>
      <c r="IS15" s="507">
        <f t="shared" si="108"/>
        <v>19.945024738867502</v>
      </c>
      <c r="IT15" s="507">
        <f t="shared" si="108"/>
        <v>58.970568471979568</v>
      </c>
      <c r="IU15" s="507">
        <f t="shared" si="108"/>
        <v>12.620875286611511</v>
      </c>
      <c r="IV15" s="507">
        <f t="shared" si="108"/>
        <v>41.706868826096951</v>
      </c>
      <c r="IW15" s="507">
        <f t="shared" si="108"/>
        <v>-35.680776489619845</v>
      </c>
      <c r="IX15" s="507">
        <f t="shared" si="108"/>
        <v>16.520767368224988</v>
      </c>
      <c r="IY15" s="482">
        <f>(IY14/IL14-1)*100</f>
        <v>20.674515061376674</v>
      </c>
      <c r="IZ15" s="507">
        <f>(IZ14/IM14-1)*100</f>
        <v>21.721040189125283</v>
      </c>
      <c r="JA15" s="507">
        <f t="shared" ref="JA15:JE15" si="109">(JA14/IN14-1)*100</f>
        <v>22.916046442393579</v>
      </c>
      <c r="JB15" s="507">
        <f t="shared" si="109"/>
        <v>2.4130936560117444</v>
      </c>
      <c r="JC15" s="507">
        <f t="shared" si="109"/>
        <v>28.2068615852628</v>
      </c>
      <c r="JD15" s="507">
        <f t="shared" si="109"/>
        <v>28.690963183339523</v>
      </c>
      <c r="JE15" s="507">
        <f t="shared" si="109"/>
        <v>65.886749532862126</v>
      </c>
      <c r="JF15" s="507">
        <f>(JF14/11-1)*100</f>
        <v>54.54545454545454</v>
      </c>
      <c r="JG15" s="507">
        <f>(JG14/IT14-1)*100</f>
        <v>29.360047341279905</v>
      </c>
      <c r="JH15" s="507">
        <f t="shared" ref="JH15:JK15" si="110">(JH14/IU14-1)*100</f>
        <v>73.639019208639468</v>
      </c>
      <c r="JI15" s="507">
        <f t="shared" si="110"/>
        <v>54.41355272756747</v>
      </c>
      <c r="JJ15" s="507">
        <f t="shared" si="110"/>
        <v>88.866532528504365</v>
      </c>
      <c r="JK15" s="507">
        <f t="shared" si="110"/>
        <v>47.466432225063947</v>
      </c>
      <c r="JL15" s="532">
        <f>(JL14/144-1)*100</f>
        <v>43.055555555555557</v>
      </c>
      <c r="JM15" s="507">
        <f t="shared" si="29"/>
        <v>3.3949658172778063</v>
      </c>
      <c r="JN15" s="574">
        <f>(JN14/17-1)*100</f>
        <v>23.529411764705888</v>
      </c>
    </row>
    <row r="16" spans="1:292" x14ac:dyDescent="0.15">
      <c r="A16" s="553" t="s">
        <v>125</v>
      </c>
      <c r="B16" s="11" t="s">
        <v>128</v>
      </c>
      <c r="C16" s="12">
        <v>35488</v>
      </c>
      <c r="D16" s="13">
        <v>35007</v>
      </c>
      <c r="E16" s="14">
        <v>39672</v>
      </c>
      <c r="F16" s="13">
        <v>35583</v>
      </c>
      <c r="G16" s="14">
        <v>35613</v>
      </c>
      <c r="H16" s="518">
        <v>30820</v>
      </c>
      <c r="I16" s="14">
        <v>33271</v>
      </c>
      <c r="J16" s="13">
        <v>36769</v>
      </c>
      <c r="K16" s="14">
        <v>41974</v>
      </c>
      <c r="L16" s="13">
        <v>40712</v>
      </c>
      <c r="M16" s="14">
        <v>38828</v>
      </c>
      <c r="N16" s="13">
        <f>SUM(AA16:AL16)</f>
        <v>43295</v>
      </c>
      <c r="O16" s="14">
        <v>2770</v>
      </c>
      <c r="P16" s="13">
        <v>3014</v>
      </c>
      <c r="Q16" s="13">
        <v>3249</v>
      </c>
      <c r="R16" s="13">
        <v>3322</v>
      </c>
      <c r="S16" s="13">
        <v>3043</v>
      </c>
      <c r="T16" s="13">
        <v>3178</v>
      </c>
      <c r="U16" s="13">
        <v>3343</v>
      </c>
      <c r="V16" s="13">
        <v>3084</v>
      </c>
      <c r="W16" s="13">
        <v>3365</v>
      </c>
      <c r="X16" s="13">
        <v>3459</v>
      </c>
      <c r="Y16" s="13">
        <v>3516</v>
      </c>
      <c r="Z16" s="13">
        <v>3485</v>
      </c>
      <c r="AA16" s="14">
        <v>3368</v>
      </c>
      <c r="AB16" s="13">
        <v>2658</v>
      </c>
      <c r="AC16" s="14">
        <v>3685</v>
      </c>
      <c r="AD16" s="13">
        <v>3654</v>
      </c>
      <c r="AE16" s="14">
        <v>3568</v>
      </c>
      <c r="AF16" s="13">
        <v>3698</v>
      </c>
      <c r="AG16" s="14">
        <v>3868</v>
      </c>
      <c r="AH16" s="13">
        <v>3564</v>
      </c>
      <c r="AI16" s="14">
        <v>3679</v>
      </c>
      <c r="AJ16" s="13">
        <v>3892</v>
      </c>
      <c r="AK16" s="14">
        <v>3840</v>
      </c>
      <c r="AL16" s="13">
        <v>3821</v>
      </c>
      <c r="AM16" s="14">
        <f>SUM(AN16:AY16)</f>
        <v>42021</v>
      </c>
      <c r="AN16" s="113">
        <v>3768</v>
      </c>
      <c r="AO16" s="13">
        <v>3656</v>
      </c>
      <c r="AP16" s="85">
        <v>3787</v>
      </c>
      <c r="AQ16" s="101">
        <v>3667</v>
      </c>
      <c r="AR16" s="29">
        <v>3524</v>
      </c>
      <c r="AS16" s="28">
        <v>3600</v>
      </c>
      <c r="AT16" s="29">
        <v>3587</v>
      </c>
      <c r="AU16" s="28">
        <v>3401</v>
      </c>
      <c r="AV16" s="29">
        <v>3381</v>
      </c>
      <c r="AW16" s="28">
        <v>3557</v>
      </c>
      <c r="AX16" s="29">
        <v>3486</v>
      </c>
      <c r="AY16" s="28">
        <v>2607</v>
      </c>
      <c r="AZ16" s="110">
        <f>SUM(BA16:BL16)</f>
        <v>41704</v>
      </c>
      <c r="BA16" s="59">
        <v>3131</v>
      </c>
      <c r="BB16" s="26">
        <v>3238</v>
      </c>
      <c r="BC16" s="26">
        <v>3392</v>
      </c>
      <c r="BD16" s="26">
        <v>3375</v>
      </c>
      <c r="BE16" s="26">
        <v>3220</v>
      </c>
      <c r="BF16" s="26">
        <v>3467</v>
      </c>
      <c r="BG16" s="26">
        <v>3674</v>
      </c>
      <c r="BH16" s="26">
        <v>3411</v>
      </c>
      <c r="BI16" s="26">
        <v>3496</v>
      </c>
      <c r="BJ16" s="26">
        <v>3814</v>
      </c>
      <c r="BK16" s="26">
        <v>3755</v>
      </c>
      <c r="BL16" s="26">
        <v>3731</v>
      </c>
      <c r="BM16" s="26">
        <v>3589</v>
      </c>
      <c r="BN16" s="26">
        <v>3705</v>
      </c>
      <c r="BO16" s="26">
        <v>3980</v>
      </c>
      <c r="BP16" s="26">
        <v>3898</v>
      </c>
      <c r="BQ16" s="26">
        <v>3819</v>
      </c>
      <c r="BR16" s="26">
        <v>4440</v>
      </c>
      <c r="BS16" s="26">
        <v>4512</v>
      </c>
      <c r="BT16" s="26">
        <v>3913</v>
      </c>
      <c r="BU16" s="26">
        <v>4321</v>
      </c>
      <c r="BV16" s="26">
        <v>4813</v>
      </c>
      <c r="BW16" s="26">
        <v>4353</v>
      </c>
      <c r="BX16" s="26">
        <v>4475</v>
      </c>
      <c r="BY16" s="110">
        <f>SUM(BM16:BX16)</f>
        <v>49818</v>
      </c>
      <c r="BZ16" s="119">
        <v>4555</v>
      </c>
      <c r="CA16" s="26">
        <v>4626</v>
      </c>
      <c r="CB16" s="26">
        <v>5111</v>
      </c>
      <c r="CC16" s="26">
        <v>4969</v>
      </c>
      <c r="CD16" s="26">
        <v>4636</v>
      </c>
      <c r="CE16" s="88">
        <v>5022</v>
      </c>
      <c r="CF16" s="88">
        <v>5201</v>
      </c>
      <c r="CG16" s="88">
        <v>4839</v>
      </c>
      <c r="CH16" s="88">
        <v>5083</v>
      </c>
      <c r="CI16" s="88">
        <v>5279</v>
      </c>
      <c r="CJ16" s="14">
        <v>5444</v>
      </c>
      <c r="CK16" s="110">
        <v>5095</v>
      </c>
      <c r="CL16" s="102">
        <f>SUM(BZ16:CK16)</f>
        <v>59860</v>
      </c>
      <c r="CM16" s="289">
        <v>4918</v>
      </c>
      <c r="CN16" s="290">
        <v>5112</v>
      </c>
      <c r="CO16" s="290">
        <v>5558</v>
      </c>
      <c r="CP16" s="327">
        <v>5393</v>
      </c>
      <c r="CQ16" s="334">
        <v>5305</v>
      </c>
      <c r="CR16" s="334">
        <v>5603</v>
      </c>
      <c r="CS16" s="334">
        <v>5626</v>
      </c>
      <c r="CT16" s="334">
        <v>5450</v>
      </c>
      <c r="CU16" s="334">
        <v>5816</v>
      </c>
      <c r="CV16" s="334">
        <v>6092</v>
      </c>
      <c r="CW16" s="327">
        <v>6015</v>
      </c>
      <c r="CX16" s="317">
        <v>5878</v>
      </c>
      <c r="CY16" s="102">
        <f>SUM(CM16:CX16)</f>
        <v>66766</v>
      </c>
      <c r="CZ16" s="327">
        <v>5878</v>
      </c>
      <c r="DA16" s="327">
        <v>5851</v>
      </c>
      <c r="DB16" s="327">
        <v>6315</v>
      </c>
      <c r="DC16" s="327">
        <v>6204</v>
      </c>
      <c r="DD16" s="327">
        <v>6180</v>
      </c>
      <c r="DE16" s="327">
        <v>6664</v>
      </c>
      <c r="DF16" s="327">
        <v>6907</v>
      </c>
      <c r="DG16" s="327">
        <v>6217</v>
      </c>
      <c r="DH16" s="327">
        <v>6496</v>
      </c>
      <c r="DI16" s="327">
        <v>7191</v>
      </c>
      <c r="DJ16" s="327">
        <v>6990</v>
      </c>
      <c r="DK16" s="327">
        <v>6574</v>
      </c>
      <c r="DL16" s="102">
        <f>SUM(CZ16:DK16)</f>
        <v>77467</v>
      </c>
      <c r="DM16" s="327">
        <v>6393</v>
      </c>
      <c r="DN16" s="327">
        <v>6905</v>
      </c>
      <c r="DO16" s="327">
        <v>7285</v>
      </c>
      <c r="DP16" s="327">
        <v>7046</v>
      </c>
      <c r="DQ16" s="327">
        <v>6923</v>
      </c>
      <c r="DR16" s="327">
        <v>7174</v>
      </c>
      <c r="DS16" s="327">
        <v>7546</v>
      </c>
      <c r="DT16" s="327">
        <v>6852</v>
      </c>
      <c r="DU16" s="327">
        <v>7045</v>
      </c>
      <c r="DV16" s="327">
        <v>7832</v>
      </c>
      <c r="DW16" s="327">
        <v>7779</v>
      </c>
      <c r="DX16" s="290">
        <v>7314</v>
      </c>
      <c r="DY16" s="306">
        <f>SUM(DM16:DX16)</f>
        <v>86094</v>
      </c>
      <c r="DZ16" s="327">
        <v>6898</v>
      </c>
      <c r="EA16" s="327">
        <v>7433</v>
      </c>
      <c r="EB16" s="327">
        <v>7875</v>
      </c>
      <c r="EC16" s="327">
        <v>7763</v>
      </c>
      <c r="ED16" s="327">
        <v>6803</v>
      </c>
      <c r="EE16" s="327">
        <v>7739</v>
      </c>
      <c r="EF16" s="327">
        <v>8042</v>
      </c>
      <c r="EG16" s="327">
        <v>6751</v>
      </c>
      <c r="EH16" s="327">
        <v>7863</v>
      </c>
      <c r="EI16" s="327">
        <v>8027</v>
      </c>
      <c r="EJ16" s="327">
        <v>7016</v>
      </c>
      <c r="EK16" s="327">
        <v>6187</v>
      </c>
      <c r="EL16" s="306">
        <f>SUM(DZ16:EK16)</f>
        <v>88397</v>
      </c>
      <c r="EM16" s="327">
        <v>4815</v>
      </c>
      <c r="EN16" s="327">
        <v>4186</v>
      </c>
      <c r="EO16" s="327">
        <v>4201</v>
      </c>
      <c r="EP16" s="327">
        <v>4072.7</v>
      </c>
      <c r="EQ16" s="327">
        <v>3872.4859999999999</v>
      </c>
      <c r="ER16" s="327">
        <v>4489.9380000000001</v>
      </c>
      <c r="ES16" s="327">
        <v>4925.3029999999999</v>
      </c>
      <c r="ET16" s="327">
        <v>4457.9160000000002</v>
      </c>
      <c r="EU16" s="327">
        <v>4949.4430000000002</v>
      </c>
      <c r="EV16" s="327">
        <v>5406.1980000000003</v>
      </c>
      <c r="EW16" s="327">
        <v>5453.4589999999998</v>
      </c>
      <c r="EX16" s="327">
        <v>5395.0990000000002</v>
      </c>
      <c r="EY16" s="306">
        <f>SUM(EM16:EX16)</f>
        <v>56224.542000000001</v>
      </c>
      <c r="EZ16" s="327">
        <v>5253.9930000000004</v>
      </c>
      <c r="FA16" s="327">
        <v>5556.826</v>
      </c>
      <c r="FB16" s="327">
        <v>6479.777</v>
      </c>
      <c r="FC16" s="327">
        <v>6387.32</v>
      </c>
      <c r="FD16" s="327">
        <v>6018.41</v>
      </c>
      <c r="FE16" s="327">
        <v>7132.2280000000001</v>
      </c>
      <c r="FF16" s="327">
        <v>7508.5010000000002</v>
      </c>
      <c r="FG16" s="327">
        <v>6710.009</v>
      </c>
      <c r="FH16" s="327">
        <v>7748.4210000000003</v>
      </c>
      <c r="FI16" s="327">
        <v>7665.07</v>
      </c>
      <c r="FJ16" s="327">
        <v>7859.41</v>
      </c>
      <c r="FK16" s="327">
        <v>7479.9949999999999</v>
      </c>
      <c r="FL16" s="306">
        <f>SUM(EZ16:FK16)</f>
        <v>81799.959999999992</v>
      </c>
      <c r="FM16" s="327">
        <v>7216.2969999999996</v>
      </c>
      <c r="FN16" s="327">
        <v>7737.4459999999999</v>
      </c>
      <c r="FO16" s="327">
        <v>7866.5559999999996</v>
      </c>
      <c r="FP16" s="327">
        <v>7304.2809999999999</v>
      </c>
      <c r="FQ16" s="327">
        <v>6928.308</v>
      </c>
      <c r="FR16" s="327">
        <v>7473.0469999999996</v>
      </c>
      <c r="FS16" s="327">
        <v>8056.1790000000001</v>
      </c>
      <c r="FT16" s="327">
        <v>7714.7510000000002</v>
      </c>
      <c r="FU16" s="327">
        <v>8483.1290000000008</v>
      </c>
      <c r="FV16" s="327">
        <v>8600.2999999999993</v>
      </c>
      <c r="FW16" s="327">
        <v>8245.2800000000007</v>
      </c>
      <c r="FX16" s="327">
        <v>7882.5410000000002</v>
      </c>
      <c r="FY16" s="306">
        <f>SUM(FM16:FX16)</f>
        <v>93508.115000000005</v>
      </c>
      <c r="FZ16" s="327">
        <v>7447.9870000000001</v>
      </c>
      <c r="GA16" s="327">
        <v>8036.7610000000004</v>
      </c>
      <c r="GB16" s="327">
        <v>8343.8880000000008</v>
      </c>
      <c r="GC16" s="327">
        <v>7727.8360000000002</v>
      </c>
      <c r="GD16" s="327">
        <v>7428.4579999999996</v>
      </c>
      <c r="GE16" s="327">
        <v>7950.8540000000003</v>
      </c>
      <c r="GF16" s="327">
        <v>8246.4330000000009</v>
      </c>
      <c r="GG16" s="327">
        <v>6829.2129999999997</v>
      </c>
      <c r="GH16" s="327">
        <v>7676.8059999999996</v>
      </c>
      <c r="GI16" s="327">
        <v>8299.8719999999994</v>
      </c>
      <c r="GJ16" s="327">
        <v>7654.9920000000002</v>
      </c>
      <c r="GK16" s="327">
        <v>7160.7619999999997</v>
      </c>
      <c r="GL16" s="306">
        <f>SUM(FZ16:GK16)</f>
        <v>92803.862000000008</v>
      </c>
      <c r="GM16" s="327">
        <v>7179.1819999999998</v>
      </c>
      <c r="GN16" s="327">
        <v>7777.3680000000004</v>
      </c>
      <c r="GO16" s="327">
        <v>8119.1270000000004</v>
      </c>
      <c r="GP16" s="327">
        <v>8130.2910000000002</v>
      </c>
      <c r="GQ16" s="327">
        <v>7930.2049999999999</v>
      </c>
      <c r="GR16" s="327">
        <v>8245.3760000000002</v>
      </c>
      <c r="GS16" s="327">
        <v>9140.7929999999997</v>
      </c>
      <c r="GT16" s="327">
        <v>7548.0720000000001</v>
      </c>
      <c r="GU16" s="327">
        <v>8666.2070000000003</v>
      </c>
      <c r="GV16" s="327">
        <v>9128.3700000000008</v>
      </c>
      <c r="GW16" s="327">
        <v>8860.5249999999996</v>
      </c>
      <c r="GX16" s="327">
        <v>8211.6479999999992</v>
      </c>
      <c r="GY16" s="306">
        <f>SUM(GM16:GX16)</f>
        <v>98937.16399999999</v>
      </c>
      <c r="GZ16" s="327">
        <v>8132.0889999999999</v>
      </c>
      <c r="HA16" s="327">
        <v>8400.1779999999999</v>
      </c>
      <c r="HB16" s="327">
        <v>8686.7279999999992</v>
      </c>
      <c r="HC16" s="327">
        <v>8570.4390000000003</v>
      </c>
      <c r="HD16" s="327">
        <v>8095.616</v>
      </c>
      <c r="HE16" s="327">
        <v>9265.6980000000003</v>
      </c>
      <c r="HF16" s="327">
        <v>9453.5319999999992</v>
      </c>
      <c r="HG16" s="327">
        <v>7575.85</v>
      </c>
      <c r="HH16" s="327">
        <v>9224.4930000000004</v>
      </c>
      <c r="HI16" s="327">
        <v>9317.1389999999992</v>
      </c>
      <c r="HJ16" s="327">
        <v>8448.4959999999992</v>
      </c>
      <c r="HK16" s="327">
        <v>8333.1759999999995</v>
      </c>
      <c r="HL16" s="306">
        <f>SUM(GZ16:HK16)</f>
        <v>103503.43400000001</v>
      </c>
      <c r="HM16" s="327">
        <v>8017.009</v>
      </c>
      <c r="HN16" s="327">
        <v>8279.7389999999996</v>
      </c>
      <c r="HO16" s="327">
        <v>9030.7099999999991</v>
      </c>
      <c r="HP16" s="327">
        <v>8564.5759999999991</v>
      </c>
      <c r="HQ16" s="290">
        <v>7607.2259999999997</v>
      </c>
      <c r="HR16" s="444">
        <v>8905.2960000000003</v>
      </c>
      <c r="HS16" s="449">
        <v>8975.4699999999993</v>
      </c>
      <c r="HT16" s="453">
        <v>7476.924</v>
      </c>
      <c r="HU16" s="453">
        <v>8588.5959999999995</v>
      </c>
      <c r="HV16" s="453">
        <v>8624.0249999999996</v>
      </c>
      <c r="HW16" s="453">
        <v>8563.1820000000007</v>
      </c>
      <c r="HX16" s="453">
        <v>7919.3140000000003</v>
      </c>
      <c r="HY16" s="477">
        <f>SUM(HM16:HX16)</f>
        <v>100552.06700000001</v>
      </c>
      <c r="HZ16" s="467">
        <v>7460883</v>
      </c>
      <c r="IA16" s="467">
        <v>8214429</v>
      </c>
      <c r="IB16" s="467">
        <v>8636611</v>
      </c>
      <c r="IC16" s="467">
        <v>8089370</v>
      </c>
      <c r="ID16" s="467">
        <v>7647204</v>
      </c>
      <c r="IE16" s="467">
        <v>8366866</v>
      </c>
      <c r="IF16" s="467">
        <v>8276866</v>
      </c>
      <c r="IG16" s="467">
        <v>7799124</v>
      </c>
      <c r="IH16" s="467">
        <v>8697423</v>
      </c>
      <c r="II16" s="467">
        <v>8714171</v>
      </c>
      <c r="IJ16" s="467">
        <v>8771352</v>
      </c>
      <c r="IK16" s="467">
        <v>8514675</v>
      </c>
      <c r="IL16" s="468">
        <f>SUM(HZ16:IK16)</f>
        <v>99188974</v>
      </c>
      <c r="IM16" s="467">
        <v>7953250</v>
      </c>
      <c r="IN16" s="467">
        <v>8266150</v>
      </c>
      <c r="IO16" s="467">
        <v>9154218</v>
      </c>
      <c r="IP16" s="467">
        <v>8299923</v>
      </c>
      <c r="IQ16" s="467">
        <v>7603217</v>
      </c>
      <c r="IR16" s="467">
        <v>8656809</v>
      </c>
      <c r="IS16" s="467">
        <v>9219943</v>
      </c>
      <c r="IT16" s="467">
        <v>8174510</v>
      </c>
      <c r="IU16" s="467">
        <v>8384800</v>
      </c>
      <c r="IV16" s="467">
        <v>9397513</v>
      </c>
      <c r="IW16" s="467">
        <v>9453795</v>
      </c>
      <c r="IX16" s="467">
        <v>8578904</v>
      </c>
      <c r="IY16" s="468">
        <f>SUM(IM16:IX16)</f>
        <v>103143032</v>
      </c>
      <c r="IZ16" s="467">
        <v>7952647</v>
      </c>
      <c r="JA16" s="467">
        <v>8432828</v>
      </c>
      <c r="JB16" s="467">
        <v>8861286</v>
      </c>
      <c r="JC16" s="467">
        <v>8778876</v>
      </c>
      <c r="JD16" s="467">
        <v>8530105</v>
      </c>
      <c r="JE16" s="467">
        <v>9018432</v>
      </c>
      <c r="JF16" s="520">
        <v>9883</v>
      </c>
      <c r="JG16" s="484">
        <v>8172177</v>
      </c>
      <c r="JH16" s="484">
        <v>8700689</v>
      </c>
      <c r="JI16" s="484">
        <v>9730558</v>
      </c>
      <c r="JJ16" s="484">
        <v>8899612</v>
      </c>
      <c r="JK16" s="484">
        <v>8575881</v>
      </c>
      <c r="JL16" s="529">
        <v>105537</v>
      </c>
      <c r="JM16" s="467">
        <v>8011183</v>
      </c>
      <c r="JN16" s="573">
        <v>8702</v>
      </c>
      <c r="KF16" s="283"/>
    </row>
    <row r="17" spans="1:274" x14ac:dyDescent="0.15">
      <c r="A17" s="554"/>
      <c r="B17" s="35" t="s">
        <v>76</v>
      </c>
      <c r="C17" s="16"/>
      <c r="D17" s="17">
        <f t="shared" ref="D17:M17" si="111">(D16/C16-1)*100</f>
        <v>-1.3553877366997313</v>
      </c>
      <c r="E17" s="18">
        <f t="shared" si="111"/>
        <v>13.325906247321972</v>
      </c>
      <c r="F17" s="17">
        <f t="shared" si="111"/>
        <v>-10.307017543859654</v>
      </c>
      <c r="G17" s="18">
        <f t="shared" si="111"/>
        <v>8.4309923277969823E-2</v>
      </c>
      <c r="H17" s="17">
        <f t="shared" si="111"/>
        <v>-13.458568500266754</v>
      </c>
      <c r="I17" s="18">
        <f t="shared" si="111"/>
        <v>7.9526281635301732</v>
      </c>
      <c r="J17" s="17">
        <f t="shared" si="111"/>
        <v>10.513660545219562</v>
      </c>
      <c r="K17" s="18">
        <f t="shared" si="111"/>
        <v>14.155946585438816</v>
      </c>
      <c r="L17" s="17">
        <f t="shared" si="111"/>
        <v>-3.0066231476628347</v>
      </c>
      <c r="M17" s="18">
        <f t="shared" si="111"/>
        <v>-4.6276282177244994</v>
      </c>
      <c r="N17" s="18">
        <f>(N16/M16-1)*100</f>
        <v>11.504584320593381</v>
      </c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8">
        <f t="shared" ref="AA17:AL17" si="112">(AA16/O16-1)*100</f>
        <v>21.588447653429597</v>
      </c>
      <c r="AB17" s="18">
        <f t="shared" si="112"/>
        <v>-11.811546118115457</v>
      </c>
      <c r="AC17" s="18">
        <f t="shared" si="112"/>
        <v>13.419513696522012</v>
      </c>
      <c r="AD17" s="18">
        <f t="shared" si="112"/>
        <v>9.9939795304033741</v>
      </c>
      <c r="AE17" s="18">
        <f t="shared" si="112"/>
        <v>17.252711140322052</v>
      </c>
      <c r="AF17" s="18">
        <f t="shared" si="112"/>
        <v>16.362492133417248</v>
      </c>
      <c r="AG17" s="18">
        <f t="shared" si="112"/>
        <v>15.704457074484001</v>
      </c>
      <c r="AH17" s="18">
        <f t="shared" si="112"/>
        <v>15.564202334630339</v>
      </c>
      <c r="AI17" s="18">
        <f t="shared" si="112"/>
        <v>9.3313521545319347</v>
      </c>
      <c r="AJ17" s="18">
        <f t="shared" si="112"/>
        <v>12.518068806013293</v>
      </c>
      <c r="AK17" s="18">
        <f t="shared" si="112"/>
        <v>9.2150170648464211</v>
      </c>
      <c r="AL17" s="86">
        <f t="shared" si="112"/>
        <v>9.6413199426111937</v>
      </c>
      <c r="AM17" s="18">
        <f>(AM16/N16-1)*100</f>
        <v>-2.9426030719482577</v>
      </c>
      <c r="AN17" s="116">
        <f t="shared" ref="AN17:AY17" si="113">(AN16/AA16-1)*100</f>
        <v>11.876484560570066</v>
      </c>
      <c r="AO17" s="18">
        <f t="shared" si="113"/>
        <v>37.547027840481562</v>
      </c>
      <c r="AP17" s="86">
        <f t="shared" si="113"/>
        <v>2.7679782903663464</v>
      </c>
      <c r="AQ17" s="18">
        <f t="shared" si="113"/>
        <v>0.3557744937055185</v>
      </c>
      <c r="AR17" s="18">
        <f t="shared" si="113"/>
        <v>-1.2331838565022402</v>
      </c>
      <c r="AS17" s="17">
        <f t="shared" si="113"/>
        <v>-2.6500811249323908</v>
      </c>
      <c r="AT17" s="18">
        <f t="shared" si="113"/>
        <v>-7.2647362978283336</v>
      </c>
      <c r="AU17" s="17">
        <f t="shared" si="113"/>
        <v>-4.5735129068462443</v>
      </c>
      <c r="AV17" s="18">
        <f t="shared" si="113"/>
        <v>-8.1000271812992626</v>
      </c>
      <c r="AW17" s="17">
        <f t="shared" si="113"/>
        <v>-8.6073997944501546</v>
      </c>
      <c r="AX17" s="18">
        <f t="shared" si="113"/>
        <v>-9.2187499999999982</v>
      </c>
      <c r="AY17" s="17">
        <f t="shared" si="113"/>
        <v>-31.771787490185808</v>
      </c>
      <c r="AZ17" s="106">
        <f t="shared" ref="AZ17:BL17" si="114">(AZ16/AM16-1)*100</f>
        <v>-0.75438471240569793</v>
      </c>
      <c r="BA17" s="123">
        <f t="shared" si="114"/>
        <v>-16.905520169851386</v>
      </c>
      <c r="BB17" s="18">
        <f t="shared" si="114"/>
        <v>-11.433260393873091</v>
      </c>
      <c r="BC17" s="18">
        <f t="shared" si="114"/>
        <v>-10.430419857406914</v>
      </c>
      <c r="BD17" s="18">
        <f t="shared" si="114"/>
        <v>-7.9629124625034127</v>
      </c>
      <c r="BE17" s="18">
        <f t="shared" si="114"/>
        <v>-8.6265607264472184</v>
      </c>
      <c r="BF17" s="18">
        <f t="shared" si="114"/>
        <v>-3.6944444444444446</v>
      </c>
      <c r="BG17" s="18">
        <f t="shared" si="114"/>
        <v>2.4254251463618592</v>
      </c>
      <c r="BH17" s="18">
        <f t="shared" si="114"/>
        <v>0.29403116730373213</v>
      </c>
      <c r="BI17" s="18">
        <f t="shared" si="114"/>
        <v>3.4013605442176909</v>
      </c>
      <c r="BJ17" s="18">
        <f t="shared" si="114"/>
        <v>7.2251897666572917</v>
      </c>
      <c r="BK17" s="18">
        <f t="shared" si="114"/>
        <v>7.7165806081468835</v>
      </c>
      <c r="BL17" s="18">
        <f t="shared" si="114"/>
        <v>43.114691215957038</v>
      </c>
      <c r="BM17" s="18">
        <f t="shared" ref="BM17:BX17" si="115">(BM16/BA16-1)*100</f>
        <v>14.627914404343656</v>
      </c>
      <c r="BN17" s="18">
        <f t="shared" si="115"/>
        <v>14.4224830142063</v>
      </c>
      <c r="BO17" s="18">
        <f t="shared" si="115"/>
        <v>17.334905660377366</v>
      </c>
      <c r="BP17" s="18">
        <f t="shared" si="115"/>
        <v>15.496296296296297</v>
      </c>
      <c r="BQ17" s="18">
        <f t="shared" si="115"/>
        <v>18.602484472049685</v>
      </c>
      <c r="BR17" s="18">
        <f t="shared" si="115"/>
        <v>28.064609172194977</v>
      </c>
      <c r="BS17" s="18">
        <f t="shared" si="115"/>
        <v>22.808927599346763</v>
      </c>
      <c r="BT17" s="18">
        <f t="shared" si="115"/>
        <v>14.717091761946644</v>
      </c>
      <c r="BU17" s="18">
        <f t="shared" si="115"/>
        <v>23.598398169336377</v>
      </c>
      <c r="BV17" s="18">
        <f t="shared" si="115"/>
        <v>26.192973256423713</v>
      </c>
      <c r="BW17" s="18">
        <f t="shared" si="115"/>
        <v>15.925432756324899</v>
      </c>
      <c r="BX17" s="18">
        <f t="shared" si="115"/>
        <v>19.941034575180929</v>
      </c>
      <c r="BY17" s="307">
        <f>(BY16/AZ16-1)*100</f>
        <v>19.456167274122382</v>
      </c>
      <c r="BZ17" s="116">
        <f t="shared" ref="BZ17:DE17" si="116">(BZ16/BM16-1)*100</f>
        <v>26.915575369183607</v>
      </c>
      <c r="CA17" s="18">
        <f t="shared" si="116"/>
        <v>24.858299595141698</v>
      </c>
      <c r="CB17" s="18">
        <f t="shared" si="116"/>
        <v>28.417085427135682</v>
      </c>
      <c r="CC17" s="18">
        <f t="shared" si="116"/>
        <v>27.475628527449981</v>
      </c>
      <c r="CD17" s="18">
        <f t="shared" si="116"/>
        <v>21.39303482587065</v>
      </c>
      <c r="CE17" s="86">
        <f t="shared" si="116"/>
        <v>13.108108108108119</v>
      </c>
      <c r="CF17" s="86">
        <f t="shared" si="116"/>
        <v>15.270390070921991</v>
      </c>
      <c r="CG17" s="86">
        <f t="shared" si="116"/>
        <v>23.66470738563762</v>
      </c>
      <c r="CH17" s="86">
        <f t="shared" si="116"/>
        <v>17.634806757694975</v>
      </c>
      <c r="CI17" s="86">
        <f t="shared" si="116"/>
        <v>9.6821109495117454</v>
      </c>
      <c r="CJ17" s="18">
        <f t="shared" si="116"/>
        <v>25.063174821961876</v>
      </c>
      <c r="CK17" s="106">
        <f t="shared" si="116"/>
        <v>13.854748603351963</v>
      </c>
      <c r="CL17" s="310">
        <f t="shared" si="116"/>
        <v>20.157372837127152</v>
      </c>
      <c r="CM17" s="291">
        <f t="shared" si="116"/>
        <v>7.9692645444566335</v>
      </c>
      <c r="CN17" s="292">
        <f t="shared" si="116"/>
        <v>10.505836575875493</v>
      </c>
      <c r="CO17" s="292">
        <f t="shared" si="116"/>
        <v>8.7458423009195929</v>
      </c>
      <c r="CP17" s="324">
        <f t="shared" si="116"/>
        <v>8.5329040048299554</v>
      </c>
      <c r="CQ17" s="331">
        <f t="shared" si="116"/>
        <v>14.430543572044874</v>
      </c>
      <c r="CR17" s="331">
        <f t="shared" si="116"/>
        <v>11.569095977698129</v>
      </c>
      <c r="CS17" s="331">
        <f t="shared" si="116"/>
        <v>8.1715054797154352</v>
      </c>
      <c r="CT17" s="331">
        <f t="shared" si="116"/>
        <v>12.626575738789004</v>
      </c>
      <c r="CU17" s="331">
        <f t="shared" si="116"/>
        <v>14.420617745425934</v>
      </c>
      <c r="CV17" s="331">
        <f t="shared" si="116"/>
        <v>15.400644061375267</v>
      </c>
      <c r="CW17" s="324">
        <f t="shared" si="116"/>
        <v>10.488611315209395</v>
      </c>
      <c r="CX17" s="314">
        <f t="shared" si="116"/>
        <v>15.368007850834143</v>
      </c>
      <c r="CY17" s="310">
        <f t="shared" si="116"/>
        <v>11.536919478783837</v>
      </c>
      <c r="CZ17" s="324">
        <f t="shared" si="116"/>
        <v>19.520130134200887</v>
      </c>
      <c r="DA17" s="324">
        <f t="shared" si="116"/>
        <v>14.456181533646317</v>
      </c>
      <c r="DB17" s="324">
        <f t="shared" si="116"/>
        <v>13.620007196833384</v>
      </c>
      <c r="DC17" s="324">
        <f t="shared" si="116"/>
        <v>15.038012238086406</v>
      </c>
      <c r="DD17" s="324">
        <f t="shared" si="116"/>
        <v>16.493873704052774</v>
      </c>
      <c r="DE17" s="324">
        <f t="shared" si="116"/>
        <v>18.936284133499903</v>
      </c>
      <c r="DF17" s="324">
        <f>(DF16/CS16-1)*100</f>
        <v>22.76928546036261</v>
      </c>
      <c r="DG17" s="324">
        <f>(DG16/CT16-1)*100</f>
        <v>14.073394495412849</v>
      </c>
      <c r="DH17" s="324">
        <f>(DH16/CT16-1)*100</f>
        <v>19.192660550458719</v>
      </c>
      <c r="DI17" s="324">
        <f>(DI16/CU16-1)*100</f>
        <v>23.641678129298494</v>
      </c>
      <c r="DJ17" s="324">
        <f>(DJ16/CV16-1)*100</f>
        <v>14.740643466841764</v>
      </c>
      <c r="DK17" s="324">
        <f>(DK16/CW16-1)*100</f>
        <v>9.2934330839567814</v>
      </c>
      <c r="DL17" s="310">
        <f t="shared" ref="DL17:EL17" si="117">(DL16/CY16-1)*100</f>
        <v>16.027618847916614</v>
      </c>
      <c r="DM17" s="324">
        <f t="shared" si="117"/>
        <v>8.7614834977883582</v>
      </c>
      <c r="DN17" s="324">
        <f t="shared" si="117"/>
        <v>18.014014698342162</v>
      </c>
      <c r="DO17" s="324">
        <f t="shared" si="117"/>
        <v>15.360253365003951</v>
      </c>
      <c r="DP17" s="324">
        <f t="shared" si="117"/>
        <v>13.571889103804002</v>
      </c>
      <c r="DQ17" s="324">
        <f t="shared" si="117"/>
        <v>12.022653721682852</v>
      </c>
      <c r="DR17" s="324">
        <f t="shared" si="117"/>
        <v>7.6530612244897878</v>
      </c>
      <c r="DS17" s="324">
        <f t="shared" si="117"/>
        <v>9.2514840017373636</v>
      </c>
      <c r="DT17" s="324">
        <f t="shared" si="117"/>
        <v>10.2139295480135</v>
      </c>
      <c r="DU17" s="324">
        <f t="shared" si="117"/>
        <v>8.4513546798029573</v>
      </c>
      <c r="DV17" s="324">
        <f t="shared" si="117"/>
        <v>8.9139201780002786</v>
      </c>
      <c r="DW17" s="324">
        <f t="shared" si="117"/>
        <v>11.287553648068659</v>
      </c>
      <c r="DX17" s="292">
        <f t="shared" si="117"/>
        <v>11.2564648615759</v>
      </c>
      <c r="DY17" s="401">
        <f t="shared" si="117"/>
        <v>11.136354834961981</v>
      </c>
      <c r="DZ17" s="324">
        <f t="shared" si="117"/>
        <v>7.8992648208978666</v>
      </c>
      <c r="EA17" s="324">
        <f t="shared" si="117"/>
        <v>7.6466328747284651</v>
      </c>
      <c r="EB17" s="324">
        <f t="shared" si="117"/>
        <v>8.0988332189430245</v>
      </c>
      <c r="EC17" s="324">
        <f t="shared" si="117"/>
        <v>10.175986375248369</v>
      </c>
      <c r="ED17" s="324">
        <f t="shared" si="117"/>
        <v>-1.7333525928065918</v>
      </c>
      <c r="EE17" s="324">
        <f t="shared" si="117"/>
        <v>7.8756621131865101</v>
      </c>
      <c r="EF17" s="324">
        <f t="shared" si="117"/>
        <v>6.573018817916787</v>
      </c>
      <c r="EG17" s="324">
        <f t="shared" si="117"/>
        <v>-1.4740221833041467</v>
      </c>
      <c r="EH17" s="324">
        <f t="shared" si="117"/>
        <v>11.611071682044006</v>
      </c>
      <c r="EI17" s="324">
        <f t="shared" si="117"/>
        <v>2.4897854954034626</v>
      </c>
      <c r="EJ17" s="324">
        <f t="shared" si="117"/>
        <v>-9.8084586707803076</v>
      </c>
      <c r="EK17" s="324">
        <f t="shared" si="117"/>
        <v>-15.408805031446537</v>
      </c>
      <c r="EL17" s="401">
        <f t="shared" si="117"/>
        <v>2.6749831579436334</v>
      </c>
      <c r="EM17" s="324">
        <f t="shared" ref="EM17:EX17" si="118">(EM16/DZ16-1)*100</f>
        <v>-30.197158596694695</v>
      </c>
      <c r="EN17" s="324">
        <f t="shared" si="118"/>
        <v>-43.683573254406028</v>
      </c>
      <c r="EO17" s="324">
        <f t="shared" si="118"/>
        <v>-46.653968253968259</v>
      </c>
      <c r="EP17" s="324">
        <f t="shared" si="118"/>
        <v>-47.537034651552233</v>
      </c>
      <c r="EQ17" s="324">
        <f t="shared" si="118"/>
        <v>-43.076789651624281</v>
      </c>
      <c r="ER17" s="324">
        <f t="shared" si="118"/>
        <v>-41.982969375888359</v>
      </c>
      <c r="ES17" s="324">
        <f t="shared" si="118"/>
        <v>-38.755247450882869</v>
      </c>
      <c r="ET17" s="324">
        <f t="shared" si="118"/>
        <v>-33.96658272848466</v>
      </c>
      <c r="EU17" s="324">
        <f t="shared" si="118"/>
        <v>-37.054012463436351</v>
      </c>
      <c r="EV17" s="324">
        <f t="shared" si="118"/>
        <v>-32.649831817615549</v>
      </c>
      <c r="EW17" s="324">
        <f t="shared" si="118"/>
        <v>-22.271108893956672</v>
      </c>
      <c r="EX17" s="324">
        <f t="shared" si="118"/>
        <v>-12.799434297721024</v>
      </c>
      <c r="EY17" s="401">
        <f t="shared" ref="EY17:FX17" si="119">(EY16/EL16-1)*100</f>
        <v>-36.395418396551918</v>
      </c>
      <c r="EZ17" s="324">
        <f t="shared" si="119"/>
        <v>9.1171962616822597</v>
      </c>
      <c r="FA17" s="324">
        <f t="shared" si="119"/>
        <v>32.747873865265163</v>
      </c>
      <c r="FB17" s="324">
        <f t="shared" si="119"/>
        <v>54.243680076172353</v>
      </c>
      <c r="FC17" s="324">
        <f t="shared" si="119"/>
        <v>56.832568075232651</v>
      </c>
      <c r="FD17" s="324">
        <f t="shared" si="119"/>
        <v>55.414635456396752</v>
      </c>
      <c r="FE17" s="324">
        <f t="shared" si="119"/>
        <v>58.849142237598826</v>
      </c>
      <c r="FF17" s="324">
        <f t="shared" si="119"/>
        <v>52.447494093256822</v>
      </c>
      <c r="FG17" s="324">
        <f t="shared" si="119"/>
        <v>50.518964466804661</v>
      </c>
      <c r="FH17" s="324">
        <f t="shared" si="119"/>
        <v>56.551373558600424</v>
      </c>
      <c r="FI17" s="324">
        <f t="shared" si="119"/>
        <v>41.783005357924367</v>
      </c>
      <c r="FJ17" s="324">
        <f t="shared" si="119"/>
        <v>44.117889214900117</v>
      </c>
      <c r="FK17" s="324">
        <f t="shared" si="119"/>
        <v>38.644258427880551</v>
      </c>
      <c r="FL17" s="401">
        <f t="shared" si="119"/>
        <v>45.487997038730853</v>
      </c>
      <c r="FM17" s="324">
        <f t="shared" si="119"/>
        <v>37.348812607858427</v>
      </c>
      <c r="FN17" s="324">
        <f t="shared" si="119"/>
        <v>39.242186096883373</v>
      </c>
      <c r="FO17" s="324">
        <f t="shared" si="119"/>
        <v>21.401647001123635</v>
      </c>
      <c r="FP17" s="324">
        <f t="shared" si="119"/>
        <v>14.355958367515642</v>
      </c>
      <c r="FQ17" s="324">
        <f t="shared" si="119"/>
        <v>15.118577830357193</v>
      </c>
      <c r="FR17" s="324">
        <f t="shared" si="119"/>
        <v>4.7785769047203663</v>
      </c>
      <c r="FS17" s="324">
        <f t="shared" si="119"/>
        <v>7.2941057076505667</v>
      </c>
      <c r="FT17" s="324">
        <f t="shared" si="119"/>
        <v>14.973780214005682</v>
      </c>
      <c r="FU17" s="324">
        <f t="shared" si="119"/>
        <v>9.4820351139929038</v>
      </c>
      <c r="FV17" s="324">
        <f t="shared" si="119"/>
        <v>12.201193205019646</v>
      </c>
      <c r="FW17" s="324">
        <f t="shared" si="119"/>
        <v>4.9096560683308477</v>
      </c>
      <c r="FX17" s="324">
        <f t="shared" si="119"/>
        <v>5.3816346133921167</v>
      </c>
      <c r="FY17" s="401">
        <f t="shared" ref="FY17:HY17" si="120">(FY16/FL16-1)*100</f>
        <v>14.313154920858162</v>
      </c>
      <c r="FZ17" s="324">
        <f t="shared" si="120"/>
        <v>3.2106494508194583</v>
      </c>
      <c r="GA17" s="324">
        <f t="shared" si="120"/>
        <v>3.8683953335506338</v>
      </c>
      <c r="GB17" s="324">
        <f t="shared" si="120"/>
        <v>6.0678650225079567</v>
      </c>
      <c r="GC17" s="324">
        <f t="shared" si="120"/>
        <v>5.798722694266556</v>
      </c>
      <c r="GD17" s="324">
        <f t="shared" si="120"/>
        <v>7.2189342621604036</v>
      </c>
      <c r="GE17" s="324">
        <f t="shared" si="120"/>
        <v>6.393737387172882</v>
      </c>
      <c r="GF17" s="324">
        <f t="shared" si="120"/>
        <v>2.3615910222451797</v>
      </c>
      <c r="GG17" s="324">
        <f t="shared" si="120"/>
        <v>-11.478503972454856</v>
      </c>
      <c r="GH17" s="324">
        <f t="shared" si="120"/>
        <v>-9.5050187259913326</v>
      </c>
      <c r="GI17" s="324">
        <f t="shared" si="120"/>
        <v>-3.4932269804541671</v>
      </c>
      <c r="GJ17" s="324">
        <f t="shared" si="120"/>
        <v>-7.1591019346826323</v>
      </c>
      <c r="GK17" s="324">
        <f t="shared" si="120"/>
        <v>-9.1566792992259778</v>
      </c>
      <c r="GL17" s="401">
        <f t="shared" si="120"/>
        <v>-0.75314639804255901</v>
      </c>
      <c r="GM17" s="324">
        <f t="shared" si="120"/>
        <v>-3.6090959879494955</v>
      </c>
      <c r="GN17" s="324">
        <f t="shared" si="120"/>
        <v>-3.227581360202203</v>
      </c>
      <c r="GO17" s="324">
        <f t="shared" si="120"/>
        <v>-2.6937202416906891</v>
      </c>
      <c r="GP17" s="324">
        <f t="shared" si="120"/>
        <v>5.2078615539977724</v>
      </c>
      <c r="GQ17" s="324">
        <f t="shared" si="120"/>
        <v>6.7543896727961572</v>
      </c>
      <c r="GR17" s="324">
        <f t="shared" si="120"/>
        <v>3.7042813262575303</v>
      </c>
      <c r="GS17" s="324">
        <f t="shared" si="120"/>
        <v>10.84541643641559</v>
      </c>
      <c r="GT17" s="324">
        <f t="shared" si="120"/>
        <v>10.526234867765872</v>
      </c>
      <c r="GU17" s="324">
        <f t="shared" si="120"/>
        <v>12.888185529242246</v>
      </c>
      <c r="GV17" s="324">
        <f t="shared" si="120"/>
        <v>9.9820575546225356</v>
      </c>
      <c r="GW17" s="324">
        <f t="shared" si="120"/>
        <v>15.748324753311294</v>
      </c>
      <c r="GX17" s="324">
        <f t="shared" si="120"/>
        <v>14.675616924567514</v>
      </c>
      <c r="GY17" s="401">
        <f t="shared" si="120"/>
        <v>6.6088865999994528</v>
      </c>
      <c r="GZ17" s="324">
        <f t="shared" si="120"/>
        <v>13.273197419984628</v>
      </c>
      <c r="HA17" s="324">
        <f t="shared" si="120"/>
        <v>8.0079790489533167</v>
      </c>
      <c r="HB17" s="324">
        <f t="shared" si="120"/>
        <v>6.990911707625691</v>
      </c>
      <c r="HC17" s="324">
        <f t="shared" si="120"/>
        <v>5.4136807649320273</v>
      </c>
      <c r="HD17" s="324">
        <f t="shared" si="120"/>
        <v>2.0858351076674664</v>
      </c>
      <c r="HE17" s="324">
        <f t="shared" si="120"/>
        <v>12.374475099740746</v>
      </c>
      <c r="HF17" s="324">
        <f t="shared" si="120"/>
        <v>3.4213552369034117</v>
      </c>
      <c r="HG17" s="324">
        <f t="shared" si="120"/>
        <v>0.36801450754577747</v>
      </c>
      <c r="HH17" s="324">
        <f t="shared" si="120"/>
        <v>6.4421032177052862</v>
      </c>
      <c r="HI17" s="324">
        <f t="shared" si="120"/>
        <v>2.0679376493283996</v>
      </c>
      <c r="HJ17" s="324">
        <f t="shared" si="120"/>
        <v>-4.650164634714093</v>
      </c>
      <c r="HK17" s="324">
        <f t="shared" si="120"/>
        <v>1.4799465344837115</v>
      </c>
      <c r="HL17" s="401">
        <f t="shared" si="120"/>
        <v>4.6153233177373298</v>
      </c>
      <c r="HM17" s="324">
        <f t="shared" si="120"/>
        <v>-1.4151345367715451</v>
      </c>
      <c r="HN17" s="324">
        <f t="shared" si="120"/>
        <v>-1.4337672368371246</v>
      </c>
      <c r="HO17" s="324">
        <f t="shared" si="120"/>
        <v>3.9598569219618796</v>
      </c>
      <c r="HP17" s="324">
        <f t="shared" si="120"/>
        <v>-6.840956455090863E-2</v>
      </c>
      <c r="HQ17" s="292">
        <f t="shared" si="120"/>
        <v>-6.0327713172166337</v>
      </c>
      <c r="HR17" s="440">
        <f t="shared" si="120"/>
        <v>-3.8896368087973476</v>
      </c>
      <c r="HS17" s="446">
        <f t="shared" si="120"/>
        <v>-5.0569670679699419</v>
      </c>
      <c r="HT17" s="446">
        <f t="shared" si="120"/>
        <v>-1.3058072691513267</v>
      </c>
      <c r="HU17" s="446">
        <f t="shared" si="120"/>
        <v>-6.8935712781179497</v>
      </c>
      <c r="HV17" s="446">
        <f t="shared" si="120"/>
        <v>-7.4391291146348681</v>
      </c>
      <c r="HW17" s="446">
        <f t="shared" si="120"/>
        <v>1.3574723832502356</v>
      </c>
      <c r="HX17" s="446">
        <f t="shared" si="120"/>
        <v>-4.9664377663450221</v>
      </c>
      <c r="HY17" s="480">
        <f t="shared" si="120"/>
        <v>-2.8514677107234876</v>
      </c>
      <c r="HZ17" s="446">
        <f>(7416/8017-1)*100</f>
        <v>-7.4965697891979488</v>
      </c>
      <c r="IA17" s="446">
        <f>(8214/8280-1)*100</f>
        <v>-0.79710144927536142</v>
      </c>
      <c r="IB17" s="446">
        <f>(8637/HO16-1)*100</f>
        <v>-4.3596793607590056</v>
      </c>
      <c r="IC17" s="446">
        <f>(8089/HP16-1)*100</f>
        <v>-5.5528259659322181</v>
      </c>
      <c r="ID17" s="446">
        <f>(7647/HQ16-1)*100</f>
        <v>0.52284498975054827</v>
      </c>
      <c r="IE17" s="446">
        <f>(8367/HR16-1)*100</f>
        <v>-6.0446727430508833</v>
      </c>
      <c r="IF17" s="446">
        <f>(8277/HS16-1)*100</f>
        <v>-7.781988018454733</v>
      </c>
      <c r="IG17" s="446">
        <f>(7799/HT16-1)*100</f>
        <v>4.3076002912427525</v>
      </c>
      <c r="IH17" s="446">
        <f>(8697/HU16-1)*100</f>
        <v>1.262185344379918</v>
      </c>
      <c r="II17" s="446">
        <f>(8714/HV16-1)*100</f>
        <v>1.0433063447752078</v>
      </c>
      <c r="IJ17" s="446">
        <f>(8771/HW16-1)*100</f>
        <v>2.4268782328811689</v>
      </c>
      <c r="IK17" s="446">
        <f>(8515/HX16-1)*100</f>
        <v>7.521939400306632</v>
      </c>
      <c r="IL17" s="478">
        <f>(99189/HY16-1)*100</f>
        <v>-1.3555832720972383</v>
      </c>
      <c r="IM17" s="446">
        <f>(IM16/HZ16-1)*100</f>
        <v>6.5993127086968029</v>
      </c>
      <c r="IN17" s="506">
        <f t="shared" ref="IN17:IX17" si="121">(IN16/IA16-1)*100</f>
        <v>0.62963597348031364</v>
      </c>
      <c r="IO17" s="506">
        <f t="shared" si="121"/>
        <v>5.9931725534471791</v>
      </c>
      <c r="IP17" s="506">
        <f t="shared" si="121"/>
        <v>2.6028355731039676</v>
      </c>
      <c r="IQ17" s="506">
        <f t="shared" si="121"/>
        <v>-0.57520369536369076</v>
      </c>
      <c r="IR17" s="506">
        <f t="shared" si="121"/>
        <v>3.4653716218235209</v>
      </c>
      <c r="IS17" s="506">
        <f t="shared" si="121"/>
        <v>11.394131546892261</v>
      </c>
      <c r="IT17" s="506">
        <f t="shared" si="121"/>
        <v>4.8131815829572711</v>
      </c>
      <c r="IU17" s="506">
        <f t="shared" si="121"/>
        <v>-3.5944325117911347</v>
      </c>
      <c r="IV17" s="506">
        <f t="shared" si="121"/>
        <v>7.8417327362522604</v>
      </c>
      <c r="IW17" s="506">
        <f t="shared" si="121"/>
        <v>7.780362708052313</v>
      </c>
      <c r="IX17" s="506">
        <f t="shared" si="121"/>
        <v>0.75433296044769005</v>
      </c>
      <c r="IY17" s="478">
        <f>(IY16/IL16-1)*100</f>
        <v>3.9863886483995747</v>
      </c>
      <c r="IZ17" s="506">
        <f>(IZ16/IM16-1)*100</f>
        <v>-7.5818061798682557E-3</v>
      </c>
      <c r="JA17" s="506">
        <f t="shared" ref="JA17:JE17" si="122">(JA16/IN16-1)*100</f>
        <v>2.0163921535418572</v>
      </c>
      <c r="JB17" s="506">
        <f t="shared" si="122"/>
        <v>-3.1999674903962272</v>
      </c>
      <c r="JC17" s="506">
        <f t="shared" si="122"/>
        <v>5.7705716065076684</v>
      </c>
      <c r="JD17" s="506">
        <f t="shared" si="122"/>
        <v>12.190734527240243</v>
      </c>
      <c r="JE17" s="506">
        <f t="shared" si="122"/>
        <v>4.1773244621661432</v>
      </c>
      <c r="JF17" s="506">
        <f>(JF16/9220-1)*100</f>
        <v>7.1908893709327515</v>
      </c>
      <c r="JG17" s="506">
        <f>(JG16/IT16-1)*100</f>
        <v>-2.8539936950344735E-2</v>
      </c>
      <c r="JH17" s="506">
        <f t="shared" ref="JH17:JK17" si="123">(JH16/IU16-1)*100</f>
        <v>3.7674005343001582</v>
      </c>
      <c r="JI17" s="506">
        <f t="shared" si="123"/>
        <v>3.5439695587545339</v>
      </c>
      <c r="JJ17" s="506">
        <f t="shared" si="123"/>
        <v>-5.8620162590790281</v>
      </c>
      <c r="JK17" s="506">
        <f t="shared" si="123"/>
        <v>-3.5237601446524991E-2</v>
      </c>
      <c r="JL17" s="531">
        <f>(JL16/103143-1)*100</f>
        <v>2.3210494168290685</v>
      </c>
      <c r="JM17" s="506">
        <f t="shared" si="29"/>
        <v>0.73605681227897346</v>
      </c>
      <c r="JN17" s="572">
        <f>(JN16/8433-1)*100</f>
        <v>3.1898494011620926</v>
      </c>
    </row>
    <row r="18" spans="1:274" x14ac:dyDescent="0.15">
      <c r="A18" s="554"/>
      <c r="B18" s="15" t="s">
        <v>35</v>
      </c>
      <c r="C18" s="27">
        <v>1370</v>
      </c>
      <c r="D18" s="28">
        <v>1573</v>
      </c>
      <c r="E18" s="29">
        <v>1750</v>
      </c>
      <c r="F18" s="28">
        <v>1516</v>
      </c>
      <c r="G18" s="29">
        <v>1479</v>
      </c>
      <c r="H18" s="134">
        <v>1315</v>
      </c>
      <c r="I18" s="29">
        <v>1393</v>
      </c>
      <c r="J18" s="28">
        <v>1540</v>
      </c>
      <c r="K18" s="29">
        <v>1777</v>
      </c>
      <c r="L18" s="28">
        <v>1684</v>
      </c>
      <c r="M18" s="29">
        <v>1478</v>
      </c>
      <c r="N18" s="25">
        <f>SUM(AA18:AL18)</f>
        <v>1861</v>
      </c>
      <c r="O18" s="29">
        <v>112</v>
      </c>
      <c r="P18" s="28">
        <v>117</v>
      </c>
      <c r="Q18" s="28">
        <v>123</v>
      </c>
      <c r="R18" s="28">
        <v>124</v>
      </c>
      <c r="S18" s="28">
        <v>114</v>
      </c>
      <c r="T18" s="28">
        <v>119</v>
      </c>
      <c r="U18" s="28">
        <v>125</v>
      </c>
      <c r="V18" s="28">
        <v>117</v>
      </c>
      <c r="W18" s="28">
        <v>129</v>
      </c>
      <c r="X18" s="28">
        <v>131</v>
      </c>
      <c r="Y18" s="28">
        <v>134</v>
      </c>
      <c r="Z18" s="28">
        <v>133</v>
      </c>
      <c r="AA18" s="29">
        <v>127</v>
      </c>
      <c r="AB18" s="28">
        <v>109</v>
      </c>
      <c r="AC18" s="29">
        <v>146</v>
      </c>
      <c r="AD18" s="28">
        <v>147</v>
      </c>
      <c r="AE18" s="29">
        <v>145</v>
      </c>
      <c r="AF18" s="28">
        <v>153</v>
      </c>
      <c r="AG18" s="29">
        <v>167</v>
      </c>
      <c r="AH18" s="28">
        <v>154</v>
      </c>
      <c r="AI18" s="29">
        <v>160</v>
      </c>
      <c r="AJ18" s="28">
        <v>211</v>
      </c>
      <c r="AK18" s="29">
        <v>171</v>
      </c>
      <c r="AL18" s="28">
        <v>171</v>
      </c>
      <c r="AM18" s="23">
        <f>SUM(AN18:AY18)</f>
        <v>2192</v>
      </c>
      <c r="AN18" s="118">
        <v>164</v>
      </c>
      <c r="AO18" s="28">
        <v>170</v>
      </c>
      <c r="AP18" s="88">
        <v>175</v>
      </c>
      <c r="AQ18" s="29">
        <v>170</v>
      </c>
      <c r="AR18" s="29">
        <v>371</v>
      </c>
      <c r="AS18" s="28">
        <v>165</v>
      </c>
      <c r="AT18" s="29">
        <v>168</v>
      </c>
      <c r="AU18" s="28">
        <v>159</v>
      </c>
      <c r="AV18" s="29">
        <v>159</v>
      </c>
      <c r="AW18" s="28">
        <v>168</v>
      </c>
      <c r="AX18" s="29">
        <v>165</v>
      </c>
      <c r="AY18" s="28">
        <v>158</v>
      </c>
      <c r="AZ18" s="104">
        <f>SUM(BA18:BL18)</f>
        <v>1831</v>
      </c>
      <c r="BA18" s="21">
        <v>145</v>
      </c>
      <c r="BB18" s="23">
        <v>148</v>
      </c>
      <c r="BC18" s="23">
        <v>152</v>
      </c>
      <c r="BD18" s="23">
        <v>150</v>
      </c>
      <c r="BE18" s="23">
        <v>146</v>
      </c>
      <c r="BF18" s="23">
        <v>153</v>
      </c>
      <c r="BG18" s="23">
        <v>160</v>
      </c>
      <c r="BH18" s="23">
        <v>148</v>
      </c>
      <c r="BI18" s="23">
        <v>152</v>
      </c>
      <c r="BJ18" s="23">
        <v>163</v>
      </c>
      <c r="BK18" s="23">
        <v>159</v>
      </c>
      <c r="BL18" s="23">
        <v>155</v>
      </c>
      <c r="BM18" s="23">
        <v>152</v>
      </c>
      <c r="BN18" s="23">
        <v>155</v>
      </c>
      <c r="BO18" s="23">
        <v>168</v>
      </c>
      <c r="BP18" s="23">
        <v>170</v>
      </c>
      <c r="BQ18" s="23">
        <v>167</v>
      </c>
      <c r="BR18" s="23">
        <v>193</v>
      </c>
      <c r="BS18" s="23">
        <v>197</v>
      </c>
      <c r="BT18" s="23">
        <v>172</v>
      </c>
      <c r="BU18" s="23">
        <v>187</v>
      </c>
      <c r="BV18" s="23">
        <v>207</v>
      </c>
      <c r="BW18" s="23">
        <v>185</v>
      </c>
      <c r="BX18" s="23">
        <v>193</v>
      </c>
      <c r="BY18" s="104">
        <f>SUM(BM18:BX18)</f>
        <v>2146</v>
      </c>
      <c r="BZ18" s="117">
        <v>185</v>
      </c>
      <c r="CA18" s="23">
        <v>195</v>
      </c>
      <c r="CB18" s="23">
        <v>213</v>
      </c>
      <c r="CC18" s="23">
        <v>200</v>
      </c>
      <c r="CD18" s="19">
        <v>187</v>
      </c>
      <c r="CE18" s="154">
        <v>203</v>
      </c>
      <c r="CF18" s="154">
        <v>208</v>
      </c>
      <c r="CG18" s="154">
        <v>199</v>
      </c>
      <c r="CH18" s="154">
        <v>210</v>
      </c>
      <c r="CI18" s="154">
        <v>220</v>
      </c>
      <c r="CJ18" s="19">
        <v>229</v>
      </c>
      <c r="CK18" s="15">
        <v>215</v>
      </c>
      <c r="CL18" s="311">
        <f>SUM(BZ18:CK18)</f>
        <v>2464</v>
      </c>
      <c r="CM18" s="293">
        <v>214</v>
      </c>
      <c r="CN18" s="294">
        <v>220</v>
      </c>
      <c r="CO18" s="294">
        <v>241</v>
      </c>
      <c r="CP18" s="325">
        <v>235</v>
      </c>
      <c r="CQ18" s="332">
        <v>226</v>
      </c>
      <c r="CR18" s="332">
        <v>241</v>
      </c>
      <c r="CS18" s="332">
        <v>239</v>
      </c>
      <c r="CT18" s="332">
        <v>235</v>
      </c>
      <c r="CU18" s="332">
        <v>248</v>
      </c>
      <c r="CV18" s="332">
        <v>248</v>
      </c>
      <c r="CW18" s="325">
        <v>268</v>
      </c>
      <c r="CX18" s="315">
        <v>254</v>
      </c>
      <c r="CY18" s="311">
        <f>SUM(CM18:CX18)</f>
        <v>2869</v>
      </c>
      <c r="CZ18" s="325">
        <v>258</v>
      </c>
      <c r="DA18" s="325">
        <v>267</v>
      </c>
      <c r="DB18" s="325">
        <v>289</v>
      </c>
      <c r="DC18" s="325">
        <v>294</v>
      </c>
      <c r="DD18" s="325">
        <v>294</v>
      </c>
      <c r="DE18" s="325">
        <v>320</v>
      </c>
      <c r="DF18" s="325">
        <v>339</v>
      </c>
      <c r="DG18" s="325">
        <v>309</v>
      </c>
      <c r="DH18" s="325">
        <v>326</v>
      </c>
      <c r="DI18" s="325">
        <v>361</v>
      </c>
      <c r="DJ18" s="325">
        <v>348</v>
      </c>
      <c r="DK18" s="325">
        <v>327</v>
      </c>
      <c r="DL18" s="311">
        <f>SUM(CZ18:DK18)</f>
        <v>3732</v>
      </c>
      <c r="DM18" s="325">
        <v>330</v>
      </c>
      <c r="DN18" s="325">
        <v>350</v>
      </c>
      <c r="DO18" s="325">
        <v>373</v>
      </c>
      <c r="DP18" s="325">
        <v>368</v>
      </c>
      <c r="DQ18" s="325">
        <v>364</v>
      </c>
      <c r="DR18" s="325">
        <v>371</v>
      </c>
      <c r="DS18" s="325">
        <v>392</v>
      </c>
      <c r="DT18" s="325">
        <v>352</v>
      </c>
      <c r="DU18" s="325">
        <v>370</v>
      </c>
      <c r="DV18" s="325">
        <v>417</v>
      </c>
      <c r="DW18" s="325">
        <v>419</v>
      </c>
      <c r="DX18" s="294">
        <v>396</v>
      </c>
      <c r="DY18" s="402">
        <f>SUM(DM18:DX18)</f>
        <v>4502</v>
      </c>
      <c r="DZ18" s="325">
        <v>384</v>
      </c>
      <c r="EA18" s="325">
        <v>421</v>
      </c>
      <c r="EB18" s="325">
        <v>447</v>
      </c>
      <c r="EC18" s="325">
        <v>458</v>
      </c>
      <c r="ED18" s="325">
        <v>419</v>
      </c>
      <c r="EE18" s="325">
        <v>474</v>
      </c>
      <c r="EF18" s="325">
        <v>497</v>
      </c>
      <c r="EG18" s="325">
        <v>432</v>
      </c>
      <c r="EH18" s="325">
        <v>503</v>
      </c>
      <c r="EI18" s="325">
        <v>541</v>
      </c>
      <c r="EJ18" s="325">
        <v>485</v>
      </c>
      <c r="EK18" s="325">
        <v>435</v>
      </c>
      <c r="EL18" s="402">
        <f>SUM(DZ18:EK18)</f>
        <v>5496</v>
      </c>
      <c r="EM18" s="325">
        <v>364</v>
      </c>
      <c r="EN18" s="325">
        <v>328</v>
      </c>
      <c r="EO18" s="325">
        <v>318</v>
      </c>
      <c r="EP18" s="325">
        <v>273.77999999999997</v>
      </c>
      <c r="EQ18" s="325">
        <v>243.19499999999999</v>
      </c>
      <c r="ER18" s="325">
        <v>259.23500000000001</v>
      </c>
      <c r="ES18" s="325">
        <v>254.721</v>
      </c>
      <c r="ET18" s="325">
        <v>222.28</v>
      </c>
      <c r="EU18" s="325">
        <v>247.15899999999999</v>
      </c>
      <c r="EV18" s="325">
        <v>275.57900000000001</v>
      </c>
      <c r="EW18" s="325">
        <v>276.661</v>
      </c>
      <c r="EX18" s="325">
        <v>281.14499999999998</v>
      </c>
      <c r="EY18" s="402">
        <f>SUM(EM18:EX18)</f>
        <v>3343.7550000000006</v>
      </c>
      <c r="EZ18" s="325">
        <v>289.19</v>
      </c>
      <c r="FA18" s="325">
        <v>312.226</v>
      </c>
      <c r="FB18" s="325">
        <v>373.11500000000001</v>
      </c>
      <c r="FC18" s="325">
        <v>370.96199999999999</v>
      </c>
      <c r="FD18" s="325">
        <v>360.22300000000001</v>
      </c>
      <c r="FE18" s="325">
        <v>438.18799999999999</v>
      </c>
      <c r="FF18" s="325">
        <v>468.101</v>
      </c>
      <c r="FG18" s="325">
        <v>423.13299999999998</v>
      </c>
      <c r="FH18" s="325">
        <v>486.06700000000001</v>
      </c>
      <c r="FI18" s="325">
        <v>487.61700000000002</v>
      </c>
      <c r="FJ18" s="325">
        <v>503.28500000000003</v>
      </c>
      <c r="FK18" s="325">
        <v>470.26100000000002</v>
      </c>
      <c r="FL18" s="402">
        <f>SUM(EZ18:FK18)</f>
        <v>4982.3680000000004</v>
      </c>
      <c r="FM18" s="325">
        <v>441.68599999999998</v>
      </c>
      <c r="FN18" s="325">
        <v>466.99700000000001</v>
      </c>
      <c r="FO18" s="325">
        <v>486.99400000000003</v>
      </c>
      <c r="FP18" s="325">
        <v>467.892</v>
      </c>
      <c r="FQ18" s="325">
        <v>443.02699999999999</v>
      </c>
      <c r="FR18" s="325">
        <v>488.9</v>
      </c>
      <c r="FS18" s="325">
        <v>539.154</v>
      </c>
      <c r="FT18" s="325">
        <v>533.24900000000002</v>
      </c>
      <c r="FU18" s="325">
        <v>600.10400000000004</v>
      </c>
      <c r="FV18" s="325">
        <v>636.76700000000005</v>
      </c>
      <c r="FW18" s="325">
        <v>613.17600000000004</v>
      </c>
      <c r="FX18" s="325">
        <v>612.85900000000004</v>
      </c>
      <c r="FY18" s="402">
        <f>SUM(FM18:FX18)</f>
        <v>6330.8050000000012</v>
      </c>
      <c r="FZ18" s="325">
        <v>576.13</v>
      </c>
      <c r="GA18" s="325">
        <v>619.25400000000002</v>
      </c>
      <c r="GB18" s="325">
        <v>641.77800000000002</v>
      </c>
      <c r="GC18" s="325">
        <v>577.88</v>
      </c>
      <c r="GD18" s="325">
        <v>569.75</v>
      </c>
      <c r="GE18" s="325">
        <v>618.02499999999998</v>
      </c>
      <c r="GF18" s="325">
        <v>662.06</v>
      </c>
      <c r="GG18" s="325">
        <v>549.94000000000005</v>
      </c>
      <c r="GH18" s="325">
        <v>612.02099999999996</v>
      </c>
      <c r="GI18" s="325">
        <v>625.73900000000003</v>
      </c>
      <c r="GJ18" s="325">
        <v>562.72900000000004</v>
      </c>
      <c r="GK18" s="325">
        <v>543.32500000000005</v>
      </c>
      <c r="GL18" s="402">
        <f>SUM(FZ18:GK18)</f>
        <v>7158.6310000000012</v>
      </c>
      <c r="GM18" s="325">
        <v>533.57899999999995</v>
      </c>
      <c r="GN18" s="325">
        <v>575.72500000000002</v>
      </c>
      <c r="GO18" s="325">
        <v>608.18899999999996</v>
      </c>
      <c r="GP18" s="325">
        <v>653.93600000000004</v>
      </c>
      <c r="GQ18" s="325">
        <v>646.36400000000003</v>
      </c>
      <c r="GR18" s="325">
        <v>681.51300000000003</v>
      </c>
      <c r="GS18" s="325">
        <v>773.25599999999997</v>
      </c>
      <c r="GT18" s="325">
        <v>655.50300000000004</v>
      </c>
      <c r="GU18" s="325">
        <v>761.07100000000003</v>
      </c>
      <c r="GV18" s="325">
        <v>785</v>
      </c>
      <c r="GW18" s="325">
        <v>755.38199999999995</v>
      </c>
      <c r="GX18" s="325">
        <v>718.25400000000002</v>
      </c>
      <c r="GY18" s="402">
        <f>SUM(GM18:GX18)</f>
        <v>8147.771999999999</v>
      </c>
      <c r="GZ18" s="325">
        <v>690.83799999999997</v>
      </c>
      <c r="HA18" s="325">
        <v>722.46799999999996</v>
      </c>
      <c r="HB18" s="325">
        <v>752.53099999999995</v>
      </c>
      <c r="HC18" s="325">
        <v>789.23199999999997</v>
      </c>
      <c r="HD18" s="325">
        <v>752.11800000000005</v>
      </c>
      <c r="HE18" s="325">
        <v>845.851</v>
      </c>
      <c r="HF18" s="325">
        <v>863.49300000000005</v>
      </c>
      <c r="HG18" s="325">
        <v>692.29600000000005</v>
      </c>
      <c r="HH18" s="325">
        <v>835.36699999999996</v>
      </c>
      <c r="HI18" s="325">
        <v>826.995</v>
      </c>
      <c r="HJ18" s="325">
        <v>746.20500000000004</v>
      </c>
      <c r="HK18" s="325">
        <v>758.798</v>
      </c>
      <c r="HL18" s="402">
        <f>SUM(GZ18:HK18)</f>
        <v>9276.1920000000009</v>
      </c>
      <c r="HM18" s="325">
        <v>744.75900000000001</v>
      </c>
      <c r="HN18" s="325">
        <v>782.50300000000004</v>
      </c>
      <c r="HO18" s="325">
        <v>853.23599999999999</v>
      </c>
      <c r="HP18" s="325">
        <v>784.25699999999995</v>
      </c>
      <c r="HQ18" s="294">
        <v>678.95399999999995</v>
      </c>
      <c r="HR18" s="441">
        <v>742.07399999999996</v>
      </c>
      <c r="HS18" s="447">
        <v>692.60699999999997</v>
      </c>
      <c r="HT18" s="452">
        <v>534.24800000000005</v>
      </c>
      <c r="HU18" s="452">
        <v>569.09199999999998</v>
      </c>
      <c r="HV18" s="452">
        <v>558.94799999999998</v>
      </c>
      <c r="HW18" s="452">
        <v>555.63800000000003</v>
      </c>
      <c r="HX18" s="452">
        <v>522.79899999999998</v>
      </c>
      <c r="HY18" s="481">
        <f>SUM(HM18:HX18)</f>
        <v>8019.1149999999989</v>
      </c>
      <c r="HZ18" s="467">
        <v>493112</v>
      </c>
      <c r="IA18" s="467">
        <v>526695</v>
      </c>
      <c r="IB18" s="467">
        <v>541007</v>
      </c>
      <c r="IC18" s="467">
        <v>471004</v>
      </c>
      <c r="ID18" s="467">
        <v>430841</v>
      </c>
      <c r="IE18" s="467">
        <v>434717</v>
      </c>
      <c r="IF18" s="467">
        <v>410882</v>
      </c>
      <c r="IG18" s="467">
        <v>356376</v>
      </c>
      <c r="IH18" s="467">
        <v>391717</v>
      </c>
      <c r="II18" s="467">
        <v>415474</v>
      </c>
      <c r="IJ18" s="467">
        <v>406382</v>
      </c>
      <c r="IK18" s="467">
        <v>409607</v>
      </c>
      <c r="IL18" s="468">
        <f>SUM(HZ18:IK18)</f>
        <v>5287814</v>
      </c>
      <c r="IM18" s="467">
        <v>394947</v>
      </c>
      <c r="IN18" s="467">
        <v>423771</v>
      </c>
      <c r="IO18" s="467">
        <v>472236</v>
      </c>
      <c r="IP18" s="467">
        <v>446181</v>
      </c>
      <c r="IQ18" s="467">
        <v>413272</v>
      </c>
      <c r="IR18" s="467">
        <v>474753</v>
      </c>
      <c r="IS18" s="467">
        <v>505467</v>
      </c>
      <c r="IT18" s="467">
        <v>462676</v>
      </c>
      <c r="IU18" s="467">
        <v>490748</v>
      </c>
      <c r="IV18" s="467">
        <v>527537</v>
      </c>
      <c r="IW18" s="467">
        <v>538807</v>
      </c>
      <c r="IX18" s="467">
        <v>481340</v>
      </c>
      <c r="IY18" s="468">
        <f>SUM(IM18:IX18)</f>
        <v>5631735</v>
      </c>
      <c r="IZ18" s="467">
        <v>439672</v>
      </c>
      <c r="JA18" s="467">
        <v>481106</v>
      </c>
      <c r="JB18" s="467">
        <v>514316</v>
      </c>
      <c r="JC18" s="467">
        <v>518912</v>
      </c>
      <c r="JD18" s="467">
        <v>496508</v>
      </c>
      <c r="JE18" s="467">
        <v>539001</v>
      </c>
      <c r="JF18" s="520">
        <v>588</v>
      </c>
      <c r="JG18" s="484">
        <v>507465</v>
      </c>
      <c r="JH18" s="484">
        <v>551566</v>
      </c>
      <c r="JI18" s="484">
        <v>643793</v>
      </c>
      <c r="JJ18" s="484">
        <v>586606</v>
      </c>
      <c r="JK18" s="484">
        <v>569587</v>
      </c>
      <c r="JL18" s="529">
        <v>6438</v>
      </c>
      <c r="JM18" s="467">
        <v>551875.451</v>
      </c>
      <c r="JN18" s="575">
        <v>617</v>
      </c>
    </row>
    <row r="19" spans="1:274" ht="14.25" thickBot="1" x14ac:dyDescent="0.2">
      <c r="A19" s="555"/>
      <c r="B19" s="36" t="s">
        <v>77</v>
      </c>
      <c r="C19" s="30"/>
      <c r="D19" s="31">
        <f t="shared" ref="D19:M19" si="124">(D18/C18-1)*100</f>
        <v>14.817518248175187</v>
      </c>
      <c r="E19" s="32">
        <f t="shared" si="124"/>
        <v>11.25238397965671</v>
      </c>
      <c r="F19" s="31">
        <f t="shared" si="124"/>
        <v>-13.371428571428567</v>
      </c>
      <c r="G19" s="32">
        <f t="shared" si="124"/>
        <v>-2.4406332453825841</v>
      </c>
      <c r="H19" s="31">
        <f t="shared" si="124"/>
        <v>-11.088573360378639</v>
      </c>
      <c r="I19" s="32">
        <f t="shared" si="124"/>
        <v>5.9315589353612141</v>
      </c>
      <c r="J19" s="31">
        <f t="shared" si="124"/>
        <v>10.552763819095468</v>
      </c>
      <c r="K19" s="32">
        <f t="shared" si="124"/>
        <v>15.389610389610397</v>
      </c>
      <c r="L19" s="31">
        <f t="shared" si="124"/>
        <v>-5.2335396736072015</v>
      </c>
      <c r="M19" s="32">
        <f t="shared" si="124"/>
        <v>-12.232779097387169</v>
      </c>
      <c r="N19" s="32">
        <f>(N18/M18-1)*100</f>
        <v>25.913396481732075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2">
        <f t="shared" ref="AA19:AL19" si="125">(AA18/O18-1)*100</f>
        <v>13.392857142857139</v>
      </c>
      <c r="AB19" s="32">
        <f t="shared" si="125"/>
        <v>-6.8376068376068355</v>
      </c>
      <c r="AC19" s="32">
        <f t="shared" si="125"/>
        <v>18.699186991869922</v>
      </c>
      <c r="AD19" s="32">
        <f t="shared" si="125"/>
        <v>18.548387096774199</v>
      </c>
      <c r="AE19" s="32">
        <f t="shared" si="125"/>
        <v>27.192982456140346</v>
      </c>
      <c r="AF19" s="32">
        <f t="shared" si="125"/>
        <v>28.57142857142858</v>
      </c>
      <c r="AG19" s="32">
        <f t="shared" si="125"/>
        <v>33.600000000000009</v>
      </c>
      <c r="AH19" s="32">
        <f t="shared" si="125"/>
        <v>31.623931623931622</v>
      </c>
      <c r="AI19" s="32">
        <f t="shared" si="125"/>
        <v>24.031007751937985</v>
      </c>
      <c r="AJ19" s="32">
        <f t="shared" si="125"/>
        <v>61.068702290076324</v>
      </c>
      <c r="AK19" s="32">
        <f t="shared" si="125"/>
        <v>27.611940298507463</v>
      </c>
      <c r="AL19" s="89">
        <f t="shared" si="125"/>
        <v>28.57142857142858</v>
      </c>
      <c r="AM19" s="32">
        <f>(AM18/N18-1)*100</f>
        <v>17.786136485760352</v>
      </c>
      <c r="AN19" s="114">
        <f t="shared" ref="AN19:AY19" si="126">(AN18/AA18-1)*100</f>
        <v>29.133858267716526</v>
      </c>
      <c r="AO19" s="32">
        <f t="shared" si="126"/>
        <v>55.963302752293572</v>
      </c>
      <c r="AP19" s="89">
        <f t="shared" si="126"/>
        <v>19.863013698630127</v>
      </c>
      <c r="AQ19" s="32">
        <f t="shared" si="126"/>
        <v>15.646258503401356</v>
      </c>
      <c r="AR19" s="32">
        <f t="shared" si="126"/>
        <v>155.86206896551724</v>
      </c>
      <c r="AS19" s="31">
        <f t="shared" si="126"/>
        <v>7.8431372549019551</v>
      </c>
      <c r="AT19" s="32">
        <f t="shared" si="126"/>
        <v>0.59880239520957446</v>
      </c>
      <c r="AU19" s="31">
        <f t="shared" si="126"/>
        <v>3.2467532467532534</v>
      </c>
      <c r="AV19" s="32">
        <f t="shared" si="126"/>
        <v>-0.62499999999999778</v>
      </c>
      <c r="AW19" s="31">
        <f t="shared" si="126"/>
        <v>-20.379146919431278</v>
      </c>
      <c r="AX19" s="32">
        <f t="shared" si="126"/>
        <v>-3.5087719298245612</v>
      </c>
      <c r="AY19" s="31">
        <f t="shared" si="126"/>
        <v>-7.6023391812865544</v>
      </c>
      <c r="AZ19" s="107">
        <f t="shared" ref="AZ19:BL19" si="127">(AZ18/AM18-1)*100</f>
        <v>-16.46897810218978</v>
      </c>
      <c r="BA19" s="125">
        <f t="shared" si="127"/>
        <v>-11.585365853658535</v>
      </c>
      <c r="BB19" s="108">
        <f t="shared" si="127"/>
        <v>-12.941176470588234</v>
      </c>
      <c r="BC19" s="108">
        <f t="shared" si="127"/>
        <v>-13.142857142857146</v>
      </c>
      <c r="BD19" s="108">
        <f t="shared" si="127"/>
        <v>-11.764705882352944</v>
      </c>
      <c r="BE19" s="108">
        <f t="shared" si="127"/>
        <v>-60.646900269541781</v>
      </c>
      <c r="BF19" s="108">
        <f t="shared" si="127"/>
        <v>-7.2727272727272751</v>
      </c>
      <c r="BG19" s="108">
        <f t="shared" si="127"/>
        <v>-4.7619047619047672</v>
      </c>
      <c r="BH19" s="108">
        <f t="shared" si="127"/>
        <v>-6.9182389937106903</v>
      </c>
      <c r="BI19" s="108">
        <f t="shared" si="127"/>
        <v>-4.4025157232704393</v>
      </c>
      <c r="BJ19" s="108">
        <f t="shared" si="127"/>
        <v>-2.9761904761904767</v>
      </c>
      <c r="BK19" s="108">
        <f t="shared" si="127"/>
        <v>-3.6363636363636376</v>
      </c>
      <c r="BL19" s="108">
        <f t="shared" si="127"/>
        <v>-1.8987341772151889</v>
      </c>
      <c r="BM19" s="108">
        <f t="shared" ref="BM19:BX19" si="128">(BM18/BA18-1)*100</f>
        <v>4.8275862068965614</v>
      </c>
      <c r="BN19" s="108">
        <f t="shared" si="128"/>
        <v>4.7297297297297369</v>
      </c>
      <c r="BO19" s="108">
        <f t="shared" si="128"/>
        <v>10.526315789473696</v>
      </c>
      <c r="BP19" s="108">
        <f t="shared" si="128"/>
        <v>13.33333333333333</v>
      </c>
      <c r="BQ19" s="108">
        <f t="shared" si="128"/>
        <v>14.383561643835607</v>
      </c>
      <c r="BR19" s="108">
        <f t="shared" si="128"/>
        <v>26.143790849673199</v>
      </c>
      <c r="BS19" s="108">
        <f t="shared" si="128"/>
        <v>23.124999999999996</v>
      </c>
      <c r="BT19" s="108">
        <f t="shared" si="128"/>
        <v>16.216216216216207</v>
      </c>
      <c r="BU19" s="108">
        <f t="shared" si="128"/>
        <v>23.026315789473696</v>
      </c>
      <c r="BV19" s="108">
        <f t="shared" si="128"/>
        <v>26.993865030674847</v>
      </c>
      <c r="BW19" s="108">
        <f t="shared" si="128"/>
        <v>16.35220125786163</v>
      </c>
      <c r="BX19" s="108">
        <f t="shared" si="128"/>
        <v>24.516129032258061</v>
      </c>
      <c r="BY19" s="106">
        <f>(BY18/AZ18-1)*100</f>
        <v>17.203713817586006</v>
      </c>
      <c r="BZ19" s="116">
        <f t="shared" ref="BZ19:DE19" si="129">(BZ18/BM18-1)*100</f>
        <v>21.710526315789469</v>
      </c>
      <c r="CA19" s="18">
        <f t="shared" si="129"/>
        <v>25.806451612903224</v>
      </c>
      <c r="CB19" s="18">
        <f t="shared" si="129"/>
        <v>26.785714285714278</v>
      </c>
      <c r="CC19" s="18">
        <f t="shared" si="129"/>
        <v>17.647058823529417</v>
      </c>
      <c r="CD19" s="108">
        <f t="shared" si="129"/>
        <v>11.976047904191622</v>
      </c>
      <c r="CE19" s="152">
        <f t="shared" si="129"/>
        <v>5.1813471502590636</v>
      </c>
      <c r="CF19" s="152">
        <f t="shared" si="129"/>
        <v>5.5837563451776706</v>
      </c>
      <c r="CG19" s="152">
        <f t="shared" si="129"/>
        <v>15.697674418604656</v>
      </c>
      <c r="CH19" s="152">
        <f t="shared" si="129"/>
        <v>12.299465240641716</v>
      </c>
      <c r="CI19" s="152">
        <f t="shared" si="129"/>
        <v>6.2801932367149815</v>
      </c>
      <c r="CJ19" s="32">
        <f t="shared" si="129"/>
        <v>23.783783783783786</v>
      </c>
      <c r="CK19" s="107">
        <f t="shared" si="129"/>
        <v>11.398963730569944</v>
      </c>
      <c r="CL19" s="308">
        <f t="shared" si="129"/>
        <v>14.81826654240448</v>
      </c>
      <c r="CM19" s="295">
        <f t="shared" si="129"/>
        <v>15.67567567567567</v>
      </c>
      <c r="CN19" s="296">
        <f t="shared" si="129"/>
        <v>12.820512820512819</v>
      </c>
      <c r="CO19" s="296">
        <f t="shared" si="129"/>
        <v>13.145539906103277</v>
      </c>
      <c r="CP19" s="328">
        <f t="shared" si="129"/>
        <v>17.500000000000004</v>
      </c>
      <c r="CQ19" s="335">
        <f t="shared" si="129"/>
        <v>20.855614973262028</v>
      </c>
      <c r="CR19" s="335">
        <f t="shared" si="129"/>
        <v>18.7192118226601</v>
      </c>
      <c r="CS19" s="335">
        <f t="shared" si="129"/>
        <v>14.903846153846146</v>
      </c>
      <c r="CT19" s="335">
        <f t="shared" si="129"/>
        <v>18.090452261306524</v>
      </c>
      <c r="CU19" s="335">
        <f t="shared" si="129"/>
        <v>18.095238095238098</v>
      </c>
      <c r="CV19" s="335">
        <f t="shared" si="129"/>
        <v>12.72727272727272</v>
      </c>
      <c r="CW19" s="328">
        <f t="shared" si="129"/>
        <v>17.030567685589524</v>
      </c>
      <c r="CX19" s="318">
        <f t="shared" si="129"/>
        <v>18.13953488372093</v>
      </c>
      <c r="CY19" s="308">
        <f t="shared" si="129"/>
        <v>16.436688311688318</v>
      </c>
      <c r="CZ19" s="328">
        <f t="shared" si="129"/>
        <v>20.560747663551403</v>
      </c>
      <c r="DA19" s="328">
        <f t="shared" si="129"/>
        <v>21.363636363636363</v>
      </c>
      <c r="DB19" s="328">
        <f t="shared" si="129"/>
        <v>19.917012448132777</v>
      </c>
      <c r="DC19" s="328">
        <f t="shared" si="129"/>
        <v>25.106382978723406</v>
      </c>
      <c r="DD19" s="328">
        <f t="shared" si="129"/>
        <v>30.088495575221241</v>
      </c>
      <c r="DE19" s="328">
        <f t="shared" si="129"/>
        <v>32.780082987551864</v>
      </c>
      <c r="DF19" s="328">
        <f>(DF18/CS18-1)*100</f>
        <v>41.841004184100413</v>
      </c>
      <c r="DG19" s="328">
        <f>(DG18/CT18-1)*100</f>
        <v>31.48936170212766</v>
      </c>
      <c r="DH19" s="328">
        <f>(DH18/CT18-1)*100</f>
        <v>38.723404255319153</v>
      </c>
      <c r="DI19" s="328">
        <f>(DI18/CU18-1)*100</f>
        <v>45.564516129032249</v>
      </c>
      <c r="DJ19" s="328">
        <f>(DJ18/CV18-1)*100</f>
        <v>40.322580645161295</v>
      </c>
      <c r="DK19" s="328">
        <f>(DK18/CW18-1)*100</f>
        <v>22.014925373134318</v>
      </c>
      <c r="DL19" s="308">
        <f t="shared" ref="DL19:EL19" si="130">(DL18/CY18-1)*100</f>
        <v>30.080167305681414</v>
      </c>
      <c r="DM19" s="328">
        <f t="shared" si="130"/>
        <v>27.906976744186053</v>
      </c>
      <c r="DN19" s="328">
        <f t="shared" si="130"/>
        <v>31.086142322097388</v>
      </c>
      <c r="DO19" s="328">
        <f t="shared" si="130"/>
        <v>29.065743944636679</v>
      </c>
      <c r="DP19" s="328">
        <f t="shared" si="130"/>
        <v>25.170068027210888</v>
      </c>
      <c r="DQ19" s="328">
        <f t="shared" si="130"/>
        <v>23.809523809523814</v>
      </c>
      <c r="DR19" s="328">
        <f t="shared" si="130"/>
        <v>15.937500000000004</v>
      </c>
      <c r="DS19" s="328">
        <f t="shared" si="130"/>
        <v>15.634218289085556</v>
      </c>
      <c r="DT19" s="328">
        <f t="shared" si="130"/>
        <v>13.915857605177994</v>
      </c>
      <c r="DU19" s="328">
        <f t="shared" si="130"/>
        <v>13.496932515337434</v>
      </c>
      <c r="DV19" s="328">
        <f t="shared" si="130"/>
        <v>15.512465373961227</v>
      </c>
      <c r="DW19" s="328">
        <f t="shared" si="130"/>
        <v>20.402298850574716</v>
      </c>
      <c r="DX19" s="296">
        <f t="shared" si="130"/>
        <v>21.100917431192666</v>
      </c>
      <c r="DY19" s="399">
        <f t="shared" si="130"/>
        <v>20.632368703108249</v>
      </c>
      <c r="DZ19" s="328">
        <f t="shared" si="130"/>
        <v>16.36363636363636</v>
      </c>
      <c r="EA19" s="328">
        <f t="shared" si="130"/>
        <v>20.285714285714285</v>
      </c>
      <c r="EB19" s="328">
        <f t="shared" si="130"/>
        <v>19.839142091152805</v>
      </c>
      <c r="EC19" s="328">
        <f t="shared" si="130"/>
        <v>24.456521739130444</v>
      </c>
      <c r="ED19" s="328">
        <f t="shared" si="130"/>
        <v>15.109890109890101</v>
      </c>
      <c r="EE19" s="328">
        <f t="shared" si="130"/>
        <v>27.762803234501355</v>
      </c>
      <c r="EF19" s="328">
        <f t="shared" si="130"/>
        <v>26.785714285714278</v>
      </c>
      <c r="EG19" s="328">
        <f t="shared" si="130"/>
        <v>22.72727272727273</v>
      </c>
      <c r="EH19" s="328">
        <f t="shared" si="130"/>
        <v>35.945945945945958</v>
      </c>
      <c r="EI19" s="328">
        <f t="shared" si="130"/>
        <v>29.736211031175053</v>
      </c>
      <c r="EJ19" s="328">
        <f t="shared" si="130"/>
        <v>15.751789976133646</v>
      </c>
      <c r="EK19" s="328">
        <f t="shared" si="130"/>
        <v>9.8484848484848406</v>
      </c>
      <c r="EL19" s="399">
        <f t="shared" si="130"/>
        <v>22.079075966237237</v>
      </c>
      <c r="EM19" s="328">
        <f t="shared" ref="EM19:EX19" si="131">(EM18/DZ18-1)*100</f>
        <v>-5.2083333333333375</v>
      </c>
      <c r="EN19" s="328">
        <f t="shared" si="131"/>
        <v>-22.090261282660329</v>
      </c>
      <c r="EO19" s="328">
        <f t="shared" si="131"/>
        <v>-28.859060402684566</v>
      </c>
      <c r="EP19" s="328">
        <f t="shared" si="131"/>
        <v>-40.222707423580793</v>
      </c>
      <c r="EQ19" s="328">
        <f t="shared" si="131"/>
        <v>-41.9582338902148</v>
      </c>
      <c r="ER19" s="328">
        <f t="shared" si="131"/>
        <v>-45.309071729957807</v>
      </c>
      <c r="ES19" s="328">
        <f t="shared" si="131"/>
        <v>-48.748289738430586</v>
      </c>
      <c r="ET19" s="328">
        <f t="shared" si="131"/>
        <v>-48.546296296296298</v>
      </c>
      <c r="EU19" s="328">
        <f t="shared" si="131"/>
        <v>-50.863021868787285</v>
      </c>
      <c r="EV19" s="328">
        <f t="shared" si="131"/>
        <v>-49.061182994454711</v>
      </c>
      <c r="EW19" s="328">
        <f t="shared" si="131"/>
        <v>-42.95649484536083</v>
      </c>
      <c r="EX19" s="328">
        <f t="shared" si="131"/>
        <v>-35.368965517241378</v>
      </c>
      <c r="EY19" s="399">
        <f t="shared" ref="EY19:FX19" si="132">(EY18/EL18-1)*100</f>
        <v>-39.160207423580772</v>
      </c>
      <c r="EZ19" s="328">
        <f t="shared" si="132"/>
        <v>-20.552197802197803</v>
      </c>
      <c r="FA19" s="328">
        <f t="shared" si="132"/>
        <v>-4.8091463414634106</v>
      </c>
      <c r="FB19" s="328">
        <f t="shared" si="132"/>
        <v>17.331761006289305</v>
      </c>
      <c r="FC19" s="328">
        <f t="shared" si="132"/>
        <v>35.496383957922426</v>
      </c>
      <c r="FD19" s="328">
        <f t="shared" si="132"/>
        <v>48.121055120376653</v>
      </c>
      <c r="FE19" s="328">
        <f t="shared" si="132"/>
        <v>69.031187918298059</v>
      </c>
      <c r="FF19" s="328">
        <f t="shared" si="132"/>
        <v>83.770085701610782</v>
      </c>
      <c r="FG19" s="328">
        <f t="shared" si="132"/>
        <v>90.360356307360078</v>
      </c>
      <c r="FH19" s="328">
        <f t="shared" si="132"/>
        <v>96.661663139922084</v>
      </c>
      <c r="FI19" s="328">
        <f t="shared" si="132"/>
        <v>76.942727856621886</v>
      </c>
      <c r="FJ19" s="328">
        <f t="shared" si="132"/>
        <v>81.913966912575333</v>
      </c>
      <c r="FK19" s="328">
        <f t="shared" si="132"/>
        <v>67.26635721780579</v>
      </c>
      <c r="FL19" s="399">
        <f t="shared" si="132"/>
        <v>49.005175319363993</v>
      </c>
      <c r="FM19" s="328">
        <f t="shared" si="132"/>
        <v>52.732113835194852</v>
      </c>
      <c r="FN19" s="328">
        <f t="shared" si="132"/>
        <v>49.570183136574151</v>
      </c>
      <c r="FO19" s="328">
        <f t="shared" si="132"/>
        <v>30.521152995725174</v>
      </c>
      <c r="FP19" s="328">
        <f t="shared" si="132"/>
        <v>26.129360958804405</v>
      </c>
      <c r="FQ19" s="328">
        <f t="shared" si="132"/>
        <v>22.986872020942585</v>
      </c>
      <c r="FR19" s="328">
        <f t="shared" si="132"/>
        <v>11.573114736140644</v>
      </c>
      <c r="FS19" s="328">
        <f t="shared" si="132"/>
        <v>15.178989149777511</v>
      </c>
      <c r="FT19" s="328">
        <f t="shared" si="132"/>
        <v>26.023968823041479</v>
      </c>
      <c r="FU19" s="328">
        <f t="shared" si="132"/>
        <v>23.461168933500943</v>
      </c>
      <c r="FV19" s="328">
        <f t="shared" si="132"/>
        <v>30.587530787482798</v>
      </c>
      <c r="FW19" s="328">
        <f t="shared" si="132"/>
        <v>21.834745720615565</v>
      </c>
      <c r="FX19" s="328">
        <f t="shared" si="132"/>
        <v>30.323160968058161</v>
      </c>
      <c r="FY19" s="399">
        <f t="shared" ref="FY19:HY19" si="133">(FY18/FL18-1)*100</f>
        <v>27.064179121253208</v>
      </c>
      <c r="FZ19" s="328">
        <f t="shared" si="133"/>
        <v>30.438818527188992</v>
      </c>
      <c r="GA19" s="328">
        <f t="shared" si="133"/>
        <v>32.603421435255477</v>
      </c>
      <c r="GB19" s="328">
        <f t="shared" si="133"/>
        <v>31.78355380148421</v>
      </c>
      <c r="GC19" s="328">
        <f t="shared" si="133"/>
        <v>23.50713412496901</v>
      </c>
      <c r="GD19" s="328">
        <f t="shared" si="133"/>
        <v>28.603899988036851</v>
      </c>
      <c r="GE19" s="328">
        <f t="shared" si="133"/>
        <v>26.411331560646346</v>
      </c>
      <c r="GF19" s="328">
        <f t="shared" si="133"/>
        <v>22.796084235672922</v>
      </c>
      <c r="GG19" s="328">
        <f t="shared" si="133"/>
        <v>3.1300574403327674</v>
      </c>
      <c r="GH19" s="328">
        <f t="shared" si="133"/>
        <v>1.9858224574407002</v>
      </c>
      <c r="GI19" s="328">
        <f t="shared" si="133"/>
        <v>-1.7318736680764002</v>
      </c>
      <c r="GJ19" s="328">
        <f t="shared" si="133"/>
        <v>-8.2271647944472726</v>
      </c>
      <c r="GK19" s="328">
        <f t="shared" si="133"/>
        <v>-11.345839744541564</v>
      </c>
      <c r="GL19" s="399">
        <f t="shared" si="133"/>
        <v>13.076156981616084</v>
      </c>
      <c r="GM19" s="328">
        <f t="shared" si="133"/>
        <v>-7.3856594865742142</v>
      </c>
      <c r="GN19" s="328">
        <f t="shared" si="133"/>
        <v>-7.0292642437513546</v>
      </c>
      <c r="GO19" s="328">
        <f t="shared" si="133"/>
        <v>-5.23374126255497</v>
      </c>
      <c r="GP19" s="328">
        <f t="shared" si="133"/>
        <v>13.161209939779894</v>
      </c>
      <c r="GQ19" s="328">
        <f t="shared" si="133"/>
        <v>13.446950416849489</v>
      </c>
      <c r="GR19" s="328">
        <f t="shared" si="133"/>
        <v>10.272723595323829</v>
      </c>
      <c r="GS19" s="328">
        <f t="shared" si="133"/>
        <v>16.795456605141524</v>
      </c>
      <c r="GT19" s="328">
        <f t="shared" si="133"/>
        <v>19.195366767283705</v>
      </c>
      <c r="GU19" s="328">
        <f t="shared" si="133"/>
        <v>24.353739495866989</v>
      </c>
      <c r="GV19" s="328">
        <f t="shared" si="133"/>
        <v>25.451665950180491</v>
      </c>
      <c r="GW19" s="328">
        <f t="shared" si="133"/>
        <v>34.235484576057004</v>
      </c>
      <c r="GX19" s="328">
        <f t="shared" si="133"/>
        <v>32.196015276307911</v>
      </c>
      <c r="GY19" s="399">
        <f t="shared" si="133"/>
        <v>13.81746034961151</v>
      </c>
      <c r="GZ19" s="328">
        <f t="shared" si="133"/>
        <v>29.472486735797322</v>
      </c>
      <c r="HA19" s="328">
        <f t="shared" si="133"/>
        <v>25.488384211211933</v>
      </c>
      <c r="HB19" s="328">
        <f t="shared" si="133"/>
        <v>23.733082972562801</v>
      </c>
      <c r="HC19" s="328">
        <f t="shared" si="133"/>
        <v>20.689486432923097</v>
      </c>
      <c r="HD19" s="328">
        <f t="shared" si="133"/>
        <v>16.361369135657313</v>
      </c>
      <c r="HE19" s="328">
        <f t="shared" si="133"/>
        <v>24.113699958768198</v>
      </c>
      <c r="HF19" s="328">
        <f t="shared" si="133"/>
        <v>11.669744560662965</v>
      </c>
      <c r="HG19" s="328">
        <f t="shared" si="133"/>
        <v>5.6129415120907078</v>
      </c>
      <c r="HH19" s="328">
        <f t="shared" si="133"/>
        <v>9.7620327144247945</v>
      </c>
      <c r="HI19" s="328">
        <f t="shared" si="133"/>
        <v>5.34968152866242</v>
      </c>
      <c r="HJ19" s="328">
        <f t="shared" si="133"/>
        <v>-1.2148820067197641</v>
      </c>
      <c r="HK19" s="328">
        <f t="shared" si="133"/>
        <v>5.644799750506091</v>
      </c>
      <c r="HL19" s="399">
        <f t="shared" si="133"/>
        <v>13.849430249152794</v>
      </c>
      <c r="HM19" s="328">
        <f t="shared" si="133"/>
        <v>7.8051583728746987</v>
      </c>
      <c r="HN19" s="328">
        <f t="shared" si="133"/>
        <v>8.309710603099397</v>
      </c>
      <c r="HO19" s="328">
        <f t="shared" si="133"/>
        <v>13.382172960316584</v>
      </c>
      <c r="HP19" s="328">
        <f t="shared" si="133"/>
        <v>-0.63035964076469941</v>
      </c>
      <c r="HQ19" s="296">
        <f t="shared" si="133"/>
        <v>-9.7277288936044712</v>
      </c>
      <c r="HR19" s="442">
        <f t="shared" si="133"/>
        <v>-12.268945712660983</v>
      </c>
      <c r="HS19" s="448">
        <f t="shared" si="133"/>
        <v>-19.790085154135596</v>
      </c>
      <c r="HT19" s="448">
        <f t="shared" si="133"/>
        <v>-22.829541121138931</v>
      </c>
      <c r="HU19" s="448">
        <f t="shared" si="133"/>
        <v>-31.87521173328609</v>
      </c>
      <c r="HV19" s="448">
        <f t="shared" si="133"/>
        <v>-32.412166941759025</v>
      </c>
      <c r="HW19" s="448">
        <f t="shared" si="133"/>
        <v>-25.538156404741319</v>
      </c>
      <c r="HX19" s="448">
        <f t="shared" si="133"/>
        <v>-31.101689777780127</v>
      </c>
      <c r="HY19" s="478">
        <f t="shared" si="133"/>
        <v>-13.551649211228078</v>
      </c>
      <c r="HZ19" s="448">
        <f>(493/745-1)*100</f>
        <v>-33.825503355704697</v>
      </c>
      <c r="IA19" s="448">
        <f>(527/783-1)*100</f>
        <v>-32.694763729246489</v>
      </c>
      <c r="IB19" s="448">
        <f>(541/HO18-1)*100</f>
        <v>-36.594330290798794</v>
      </c>
      <c r="IC19" s="448">
        <f>(471/HP18-1)*100</f>
        <v>-39.943156388785816</v>
      </c>
      <c r="ID19" s="448">
        <f>(431/HQ18-1)*100</f>
        <v>-36.519999882171696</v>
      </c>
      <c r="IE19" s="448">
        <f>(435/HR18-1)*100</f>
        <v>-41.3805092214523</v>
      </c>
      <c r="IF19" s="448">
        <f>(411/HS18-1)*100</f>
        <v>-40.658988430668472</v>
      </c>
      <c r="IG19" s="448">
        <f>(356/HT18-1)*100</f>
        <v>-33.364280259355219</v>
      </c>
      <c r="IH19" s="448">
        <f>(392/HU18-1)*100</f>
        <v>-31.118342904135009</v>
      </c>
      <c r="II19" s="448">
        <f>(415/HV18-1)*100</f>
        <v>-25.753379563036273</v>
      </c>
      <c r="IJ19" s="448">
        <f>(406/HW18-1)*100</f>
        <v>-26.930843462830122</v>
      </c>
      <c r="IK19" s="448">
        <f>(410/HX18-1)*100</f>
        <v>-21.575978530945928</v>
      </c>
      <c r="IL19" s="482">
        <f>(5288/HY18-1)*100</f>
        <v>-34.057561214672681</v>
      </c>
      <c r="IM19" s="448">
        <f>(IM18/HZ18-1)*100</f>
        <v>-19.907242168107853</v>
      </c>
      <c r="IN19" s="507">
        <f t="shared" ref="IN19:IX19" si="134">(IN18/IA18-1)*100</f>
        <v>-19.541480363398168</v>
      </c>
      <c r="IO19" s="507">
        <f t="shared" si="134"/>
        <v>-12.711665468284139</v>
      </c>
      <c r="IP19" s="507">
        <f t="shared" si="134"/>
        <v>-5.2702312506900162</v>
      </c>
      <c r="IQ19" s="507">
        <f t="shared" si="134"/>
        <v>-4.07783846012798</v>
      </c>
      <c r="IR19" s="507">
        <f t="shared" si="134"/>
        <v>9.2096697391636404</v>
      </c>
      <c r="IS19" s="507">
        <f t="shared" si="134"/>
        <v>23.019991141008855</v>
      </c>
      <c r="IT19" s="507">
        <f t="shared" si="134"/>
        <v>29.828046782050421</v>
      </c>
      <c r="IU19" s="507">
        <f t="shared" si="134"/>
        <v>25.281261727216343</v>
      </c>
      <c r="IV19" s="507">
        <f t="shared" si="134"/>
        <v>26.972325584753797</v>
      </c>
      <c r="IW19" s="507">
        <f t="shared" si="134"/>
        <v>32.586335024681205</v>
      </c>
      <c r="IX19" s="507">
        <f t="shared" si="134"/>
        <v>17.512640164840931</v>
      </c>
      <c r="IY19" s="482">
        <f>(IY18/IL18-1)*100</f>
        <v>6.5040298316090484</v>
      </c>
      <c r="IZ19" s="507">
        <f>(IZ18/IM18-1)*100</f>
        <v>11.324304273738006</v>
      </c>
      <c r="JA19" s="507">
        <f t="shared" ref="JA19:JE19" si="135">(JA18/IN18-1)*100</f>
        <v>13.529712981775543</v>
      </c>
      <c r="JB19" s="507">
        <f t="shared" si="135"/>
        <v>8.9107988378692049</v>
      </c>
      <c r="JC19" s="507">
        <f t="shared" si="135"/>
        <v>16.300783762643412</v>
      </c>
      <c r="JD19" s="507">
        <f t="shared" si="135"/>
        <v>20.140730560018593</v>
      </c>
      <c r="JE19" s="507">
        <f t="shared" si="135"/>
        <v>13.532931861410047</v>
      </c>
      <c r="JF19" s="507">
        <f>(JF18/505-1)*100</f>
        <v>16.435643564356429</v>
      </c>
      <c r="JG19" s="507">
        <f>(JG18/IT18-1)*100</f>
        <v>9.6804243142069257</v>
      </c>
      <c r="JH19" s="507">
        <f t="shared" ref="JH19:JK19" si="136">(JH18/IU18-1)*100</f>
        <v>12.39291856512914</v>
      </c>
      <c r="JI19" s="507">
        <f t="shared" si="136"/>
        <v>22.03750637396049</v>
      </c>
      <c r="JJ19" s="507">
        <f t="shared" si="136"/>
        <v>8.8712655923178332</v>
      </c>
      <c r="JK19" s="507">
        <f t="shared" si="136"/>
        <v>18.333610337806959</v>
      </c>
      <c r="JL19" s="532">
        <f>(JL18/5632-1)*100</f>
        <v>14.311079545454541</v>
      </c>
      <c r="JM19" s="507">
        <f t="shared" si="29"/>
        <v>25.519808175185133</v>
      </c>
      <c r="JN19" s="574">
        <f>(JN18/481-1)*100</f>
        <v>28.274428274428274</v>
      </c>
    </row>
    <row r="20" spans="1:274" x14ac:dyDescent="0.15">
      <c r="A20" s="553" t="s">
        <v>435</v>
      </c>
      <c r="B20" s="11" t="s">
        <v>75</v>
      </c>
      <c r="C20" s="12">
        <v>23122</v>
      </c>
      <c r="D20" s="13">
        <v>25056</v>
      </c>
      <c r="E20" s="14">
        <v>22695</v>
      </c>
      <c r="F20" s="13">
        <v>20339</v>
      </c>
      <c r="G20" s="14">
        <v>19409</v>
      </c>
      <c r="H20" s="13">
        <v>21328</v>
      </c>
      <c r="I20" s="14">
        <v>23135</v>
      </c>
      <c r="J20" s="13">
        <v>23281</v>
      </c>
      <c r="K20" s="14">
        <v>24103</v>
      </c>
      <c r="L20" s="131">
        <v>20035</v>
      </c>
      <c r="M20" s="14">
        <v>20381</v>
      </c>
      <c r="N20" s="13">
        <f>SUM(AA20:AL20)</f>
        <v>20974</v>
      </c>
      <c r="O20" s="14">
        <v>1516</v>
      </c>
      <c r="P20" s="13">
        <v>1744</v>
      </c>
      <c r="Q20" s="13">
        <v>1722</v>
      </c>
      <c r="R20" s="13">
        <v>1571</v>
      </c>
      <c r="S20" s="13">
        <v>1515</v>
      </c>
      <c r="T20" s="13">
        <v>1705</v>
      </c>
      <c r="U20" s="13">
        <v>1666</v>
      </c>
      <c r="V20" s="13">
        <v>1387</v>
      </c>
      <c r="W20" s="13">
        <v>1920</v>
      </c>
      <c r="X20" s="13">
        <v>1932</v>
      </c>
      <c r="Y20" s="13">
        <v>1825</v>
      </c>
      <c r="Z20" s="13">
        <v>1878</v>
      </c>
      <c r="AA20" s="14">
        <v>1604</v>
      </c>
      <c r="AB20" s="13">
        <v>1764</v>
      </c>
      <c r="AC20" s="14">
        <v>1917</v>
      </c>
      <c r="AD20" s="13">
        <v>1262</v>
      </c>
      <c r="AE20" s="14">
        <v>1627</v>
      </c>
      <c r="AF20" s="13">
        <v>1781</v>
      </c>
      <c r="AG20" s="14">
        <v>1779</v>
      </c>
      <c r="AH20" s="13">
        <v>1581</v>
      </c>
      <c r="AI20" s="14">
        <v>1865</v>
      </c>
      <c r="AJ20" s="13">
        <v>1969</v>
      </c>
      <c r="AK20" s="14">
        <v>1912</v>
      </c>
      <c r="AL20" s="13">
        <v>1913</v>
      </c>
      <c r="AM20" s="14">
        <f>SUM(AN20:AY20)</f>
        <v>22340</v>
      </c>
      <c r="AN20" s="113">
        <v>1677</v>
      </c>
      <c r="AO20" s="13">
        <v>2229</v>
      </c>
      <c r="AP20" s="85">
        <v>1911</v>
      </c>
      <c r="AQ20" s="101">
        <v>2004</v>
      </c>
      <c r="AR20" s="29">
        <v>1633</v>
      </c>
      <c r="AS20" s="28">
        <v>1906</v>
      </c>
      <c r="AT20" s="29">
        <v>1835</v>
      </c>
      <c r="AU20" s="28">
        <v>1613</v>
      </c>
      <c r="AV20" s="29">
        <v>1853</v>
      </c>
      <c r="AW20" s="28">
        <v>1937</v>
      </c>
      <c r="AX20" s="29">
        <v>1862</v>
      </c>
      <c r="AY20" s="28">
        <v>1880</v>
      </c>
      <c r="AZ20" s="110">
        <f>SUM(BA20:BL20)</f>
        <v>23191</v>
      </c>
      <c r="BA20" s="12">
        <v>1688</v>
      </c>
      <c r="BB20" s="14">
        <v>1732</v>
      </c>
      <c r="BC20" s="14">
        <v>1856</v>
      </c>
      <c r="BD20" s="14">
        <v>1801</v>
      </c>
      <c r="BE20" s="14">
        <v>1681</v>
      </c>
      <c r="BF20" s="14">
        <v>1942</v>
      </c>
      <c r="BG20" s="14">
        <v>2076</v>
      </c>
      <c r="BH20" s="14">
        <v>1766</v>
      </c>
      <c r="BI20" s="14">
        <v>2253</v>
      </c>
      <c r="BJ20" s="14">
        <v>2149</v>
      </c>
      <c r="BK20" s="14">
        <v>2142</v>
      </c>
      <c r="BL20" s="14">
        <v>2105</v>
      </c>
      <c r="BM20" s="14">
        <v>1859</v>
      </c>
      <c r="BN20" s="14">
        <v>2029</v>
      </c>
      <c r="BO20" s="14">
        <v>2115</v>
      </c>
      <c r="BP20" s="14">
        <v>1978</v>
      </c>
      <c r="BQ20" s="14">
        <v>1865</v>
      </c>
      <c r="BR20" s="14">
        <v>2188</v>
      </c>
      <c r="BS20" s="14">
        <v>2072</v>
      </c>
      <c r="BT20" s="14">
        <v>1991</v>
      </c>
      <c r="BU20" s="14">
        <v>2375</v>
      </c>
      <c r="BV20" s="14">
        <v>2326</v>
      </c>
      <c r="BW20" s="14">
        <v>2263</v>
      </c>
      <c r="BX20" s="14">
        <v>2297</v>
      </c>
      <c r="BY20" s="110">
        <f>SUM(BM20:BX20)</f>
        <v>25358</v>
      </c>
      <c r="BZ20" s="113">
        <v>2004</v>
      </c>
      <c r="CA20" s="14">
        <v>2296</v>
      </c>
      <c r="CB20" s="14">
        <v>2447</v>
      </c>
      <c r="CC20" s="14">
        <v>2307</v>
      </c>
      <c r="CD20" s="14">
        <v>2064</v>
      </c>
      <c r="CE20" s="153">
        <v>2328</v>
      </c>
      <c r="CF20" s="153">
        <v>2356</v>
      </c>
      <c r="CG20" s="153">
        <v>2114</v>
      </c>
      <c r="CH20" s="153">
        <v>2238</v>
      </c>
      <c r="CI20" s="153">
        <v>2290</v>
      </c>
      <c r="CJ20" s="26">
        <v>2399</v>
      </c>
      <c r="CK20" s="109">
        <v>2298</v>
      </c>
      <c r="CL20" s="102">
        <f>SUM(BZ20:CK20)</f>
        <v>27141</v>
      </c>
      <c r="CM20" s="285">
        <v>2078</v>
      </c>
      <c r="CN20" s="286">
        <v>2430</v>
      </c>
      <c r="CO20" s="286">
        <v>2488</v>
      </c>
      <c r="CP20" s="323">
        <v>2398</v>
      </c>
      <c r="CQ20" s="330">
        <v>1962</v>
      </c>
      <c r="CR20" s="330">
        <v>2191</v>
      </c>
      <c r="CS20" s="330">
        <v>2249</v>
      </c>
      <c r="CT20" s="330">
        <v>2048</v>
      </c>
      <c r="CU20" s="330">
        <v>2305</v>
      </c>
      <c r="CV20" s="330">
        <v>2269</v>
      </c>
      <c r="CW20" s="323">
        <v>2310</v>
      </c>
      <c r="CX20" s="313">
        <v>2325</v>
      </c>
      <c r="CY20" s="102">
        <f>SUM(CM20:CX20)</f>
        <v>27053</v>
      </c>
      <c r="CZ20" s="323">
        <v>2325</v>
      </c>
      <c r="DA20" s="323">
        <v>2240</v>
      </c>
      <c r="DB20" s="323">
        <v>2163</v>
      </c>
      <c r="DC20" s="323">
        <v>2281</v>
      </c>
      <c r="DD20" s="323">
        <v>1825</v>
      </c>
      <c r="DE20" s="323">
        <v>2498</v>
      </c>
      <c r="DF20" s="323">
        <v>2080</v>
      </c>
      <c r="DG20" s="323">
        <v>1771</v>
      </c>
      <c r="DH20" s="323">
        <v>1985</v>
      </c>
      <c r="DI20" s="323">
        <v>2343</v>
      </c>
      <c r="DJ20" s="323">
        <v>2342</v>
      </c>
      <c r="DK20" s="323">
        <v>2266</v>
      </c>
      <c r="DL20" s="102">
        <f>SUM(CZ20:DK20)</f>
        <v>26119</v>
      </c>
      <c r="DM20" s="323">
        <v>2015</v>
      </c>
      <c r="DN20" s="323">
        <v>2471</v>
      </c>
      <c r="DO20" s="323">
        <v>2380</v>
      </c>
      <c r="DP20" s="323">
        <v>2292</v>
      </c>
      <c r="DQ20" s="323">
        <v>2153</v>
      </c>
      <c r="DR20" s="323">
        <v>2298</v>
      </c>
      <c r="DS20" s="323">
        <v>2308</v>
      </c>
      <c r="DT20" s="323">
        <v>2006</v>
      </c>
      <c r="DU20" s="323">
        <v>2416</v>
      </c>
      <c r="DV20" s="323">
        <v>2705</v>
      </c>
      <c r="DW20" s="323">
        <v>2466</v>
      </c>
      <c r="DX20" s="286">
        <v>2465</v>
      </c>
      <c r="DY20" s="306">
        <f>SUM(DM20:DX20)</f>
        <v>27975</v>
      </c>
      <c r="DZ20" s="323">
        <v>1987</v>
      </c>
      <c r="EA20" s="323">
        <v>2234</v>
      </c>
      <c r="EB20" s="323">
        <v>2274</v>
      </c>
      <c r="EC20" s="323">
        <v>2164</v>
      </c>
      <c r="ED20" s="323">
        <v>1918</v>
      </c>
      <c r="EE20" s="323">
        <v>2190</v>
      </c>
      <c r="EF20" s="323">
        <v>2127</v>
      </c>
      <c r="EG20" s="323">
        <v>1813</v>
      </c>
      <c r="EH20" s="323">
        <v>2204</v>
      </c>
      <c r="EI20" s="323">
        <v>2190</v>
      </c>
      <c r="EJ20" s="323">
        <v>1984</v>
      </c>
      <c r="EK20" s="323">
        <v>1637</v>
      </c>
      <c r="EL20" s="306">
        <f>SUM(DZ20:EK20)</f>
        <v>24722</v>
      </c>
      <c r="EM20" s="323">
        <v>1249</v>
      </c>
      <c r="EN20" s="323">
        <v>1395</v>
      </c>
      <c r="EO20" s="323">
        <v>1088</v>
      </c>
      <c r="EP20" s="323">
        <v>1180.1079999999999</v>
      </c>
      <c r="EQ20" s="323">
        <v>1033.0039999999999</v>
      </c>
      <c r="ER20" s="323">
        <v>1265.116</v>
      </c>
      <c r="ES20" s="323">
        <v>1363.4469999999999</v>
      </c>
      <c r="ET20" s="323">
        <v>1320.4469999999999</v>
      </c>
      <c r="EU20" s="323">
        <v>1465.9749999999999</v>
      </c>
      <c r="EV20" s="323">
        <v>1536.6969999999999</v>
      </c>
      <c r="EW20" s="323">
        <v>1571.2429999999999</v>
      </c>
      <c r="EX20" s="323">
        <v>1575.019</v>
      </c>
      <c r="EY20" s="306">
        <f>SUM(EM20:EX20)</f>
        <v>16043.056</v>
      </c>
      <c r="EZ20" s="323">
        <v>1509.9680000000001</v>
      </c>
      <c r="FA20" s="323">
        <v>1707.6420000000001</v>
      </c>
      <c r="FB20" s="323">
        <v>1718.72</v>
      </c>
      <c r="FC20" s="323">
        <v>1591.0429999999999</v>
      </c>
      <c r="FD20" s="323">
        <v>1394.7639999999999</v>
      </c>
      <c r="FE20" s="323">
        <v>1569.0885000000001</v>
      </c>
      <c r="FF20" s="323">
        <v>1548.683</v>
      </c>
      <c r="FG20" s="323">
        <v>1270.1949999999999</v>
      </c>
      <c r="FH20" s="323">
        <v>1311.8689999999999</v>
      </c>
      <c r="FI20" s="323">
        <v>1277.9607000000001</v>
      </c>
      <c r="FJ20" s="323">
        <v>1330.8363999999999</v>
      </c>
      <c r="FK20" s="323">
        <v>1303.4829999999999</v>
      </c>
      <c r="FL20" s="306">
        <f>SUM(EZ20:FK20)</f>
        <v>17534.2526</v>
      </c>
      <c r="FM20" s="323">
        <v>1192.6410000000001</v>
      </c>
      <c r="FN20" s="323">
        <v>1353.8266000000001</v>
      </c>
      <c r="FO20" s="323">
        <v>1332.0920000000001</v>
      </c>
      <c r="FP20" s="323">
        <v>1252.836</v>
      </c>
      <c r="FQ20" s="323">
        <v>1081.7191</v>
      </c>
      <c r="FR20" s="323">
        <v>1296.6489999999999</v>
      </c>
      <c r="FS20" s="323">
        <v>1421.4979000000001</v>
      </c>
      <c r="FT20" s="323">
        <v>1264.9690000000001</v>
      </c>
      <c r="FU20" s="323">
        <v>1352.8946000000001</v>
      </c>
      <c r="FV20" s="323">
        <v>1377.0299</v>
      </c>
      <c r="FW20" s="323">
        <v>1382.83</v>
      </c>
      <c r="FX20" s="323">
        <v>1288.5327</v>
      </c>
      <c r="FY20" s="306">
        <f>SUM(FM20:FX20)</f>
        <v>15597.517799999998</v>
      </c>
      <c r="FZ20" s="323">
        <v>1227.4427000000001</v>
      </c>
      <c r="GA20" s="323">
        <v>1351.4357</v>
      </c>
      <c r="GB20" s="323">
        <v>1376.9540999999999</v>
      </c>
      <c r="GC20" s="323">
        <v>1266.5827999999999</v>
      </c>
      <c r="GD20" s="323">
        <v>1142.7038</v>
      </c>
      <c r="GE20" s="323">
        <v>1357.1688999999999</v>
      </c>
      <c r="GF20" s="323">
        <v>1353.5170000000001</v>
      </c>
      <c r="GG20" s="323">
        <v>1072.5858000000001</v>
      </c>
      <c r="GH20" s="323">
        <v>1192.9493</v>
      </c>
      <c r="GI20" s="323">
        <v>1190.268</v>
      </c>
      <c r="GJ20" s="323">
        <v>1085.778</v>
      </c>
      <c r="GK20" s="323">
        <v>1046.8928000000001</v>
      </c>
      <c r="GL20" s="306">
        <f>SUM(FZ20:GK20)</f>
        <v>14664.278900000001</v>
      </c>
      <c r="GM20" s="323">
        <v>1125.6020000000001</v>
      </c>
      <c r="GN20" s="323">
        <v>1312.5612000000001</v>
      </c>
      <c r="GO20" s="323">
        <v>1374.7629999999999</v>
      </c>
      <c r="GP20" s="323">
        <v>1354.393</v>
      </c>
      <c r="GQ20" s="323">
        <v>1340.83</v>
      </c>
      <c r="GR20" s="323">
        <v>1532.125</v>
      </c>
      <c r="GS20" s="323">
        <v>1522.1204</v>
      </c>
      <c r="GT20" s="323">
        <v>1233.8720000000001</v>
      </c>
      <c r="GU20" s="323">
        <v>1544.4004</v>
      </c>
      <c r="GV20" s="323">
        <v>1547.114</v>
      </c>
      <c r="GW20" s="323">
        <v>1499.2629999999999</v>
      </c>
      <c r="GX20" s="323">
        <v>1476.5440000000001</v>
      </c>
      <c r="GY20" s="306">
        <f>SUM(GM20:GX20)</f>
        <v>16863.588</v>
      </c>
      <c r="GZ20" s="323">
        <v>1340.748</v>
      </c>
      <c r="HA20" s="323">
        <v>1495.538</v>
      </c>
      <c r="HB20" s="323">
        <v>1538.173</v>
      </c>
      <c r="HC20" s="323">
        <v>1485.424</v>
      </c>
      <c r="HD20" s="323">
        <v>1372.6120000000001</v>
      </c>
      <c r="HE20" s="323">
        <v>1488.5150000000001</v>
      </c>
      <c r="HF20" s="323">
        <v>1545.873</v>
      </c>
      <c r="HG20" s="323">
        <v>1250.1479999999999</v>
      </c>
      <c r="HH20" s="323">
        <v>1600.65</v>
      </c>
      <c r="HI20" s="323">
        <v>1594.6289999999999</v>
      </c>
      <c r="HJ20" s="323">
        <v>1484.665</v>
      </c>
      <c r="HK20" s="323">
        <v>1481.9190000000001</v>
      </c>
      <c r="HL20" s="306">
        <f>SUM(GZ20:HK20)</f>
        <v>17678.894</v>
      </c>
      <c r="HM20" s="323">
        <v>1400.5920000000001</v>
      </c>
      <c r="HN20" s="323">
        <v>1453.769</v>
      </c>
      <c r="HO20" s="323">
        <v>1533.34</v>
      </c>
      <c r="HP20" s="323">
        <v>1522.547</v>
      </c>
      <c r="HQ20" s="286">
        <v>1282.595</v>
      </c>
      <c r="HR20" s="443">
        <v>1527.7090000000001</v>
      </c>
      <c r="HS20" s="449">
        <v>1622.2660000000001</v>
      </c>
      <c r="HT20" s="453">
        <v>1293.577</v>
      </c>
      <c r="HU20" s="453">
        <v>1535.45</v>
      </c>
      <c r="HV20" s="453">
        <v>1484.2739999999999</v>
      </c>
      <c r="HW20" s="453">
        <v>1532.615</v>
      </c>
      <c r="HX20" s="453">
        <v>1413.7619999999999</v>
      </c>
      <c r="HY20" s="477">
        <f>SUM(HM20:HX20)</f>
        <v>17602.495999999999</v>
      </c>
      <c r="HZ20" s="467">
        <v>1354421</v>
      </c>
      <c r="IA20" s="467">
        <v>1571012</v>
      </c>
      <c r="IB20" s="467">
        <v>1575046</v>
      </c>
      <c r="IC20" s="467">
        <v>1548357</v>
      </c>
      <c r="ID20" s="467">
        <v>1289631</v>
      </c>
      <c r="IE20" s="467">
        <v>1598778</v>
      </c>
      <c r="IF20" s="467">
        <v>1566199</v>
      </c>
      <c r="IG20" s="467">
        <v>1279193</v>
      </c>
      <c r="IH20" s="467">
        <v>1565521</v>
      </c>
      <c r="II20" s="467">
        <v>1577844</v>
      </c>
      <c r="IJ20" s="467">
        <v>1647378</v>
      </c>
      <c r="IK20" s="467">
        <v>1572308</v>
      </c>
      <c r="IL20" s="468">
        <f>SUM(HZ20:IK20)</f>
        <v>18145688</v>
      </c>
      <c r="IM20" s="467">
        <v>1471272</v>
      </c>
      <c r="IN20" s="467">
        <v>1551450</v>
      </c>
      <c r="IO20" s="467">
        <v>1680843</v>
      </c>
      <c r="IP20" s="467">
        <v>1604883</v>
      </c>
      <c r="IQ20" s="467">
        <v>1431620</v>
      </c>
      <c r="IR20" s="467">
        <v>1691679</v>
      </c>
      <c r="IS20" s="467">
        <v>1630720</v>
      </c>
      <c r="IT20" s="467">
        <v>1382404</v>
      </c>
      <c r="IU20" s="467">
        <v>1390976</v>
      </c>
      <c r="IV20" s="467">
        <v>1628191</v>
      </c>
      <c r="IW20" s="467">
        <v>1638868</v>
      </c>
      <c r="IX20" s="467">
        <v>1613222</v>
      </c>
      <c r="IY20" s="468">
        <f>SUM(IM20:IX20)</f>
        <v>18716128</v>
      </c>
      <c r="IZ20" s="467">
        <v>1407487</v>
      </c>
      <c r="JA20" s="467">
        <v>1557018</v>
      </c>
      <c r="JB20" s="467">
        <v>1624936</v>
      </c>
      <c r="JC20" s="467">
        <v>1559792</v>
      </c>
      <c r="JD20" s="467">
        <v>1387719</v>
      </c>
      <c r="JE20" s="467">
        <v>1641641</v>
      </c>
      <c r="JF20" s="520">
        <v>1609</v>
      </c>
      <c r="JG20" s="484">
        <v>1385839</v>
      </c>
      <c r="JH20" s="484">
        <v>1570011</v>
      </c>
      <c r="JI20" s="484">
        <v>1679648</v>
      </c>
      <c r="JJ20" s="484">
        <v>1637570</v>
      </c>
      <c r="JK20" s="484">
        <v>1553310</v>
      </c>
      <c r="JL20" s="529">
        <v>18615</v>
      </c>
      <c r="JM20" s="467">
        <v>1404704.2</v>
      </c>
      <c r="JN20" s="573">
        <v>1497</v>
      </c>
    </row>
    <row r="21" spans="1:274" x14ac:dyDescent="0.15">
      <c r="A21" s="554"/>
      <c r="B21" s="35" t="s">
        <v>76</v>
      </c>
      <c r="C21" s="16"/>
      <c r="D21" s="17">
        <f t="shared" ref="D21:M21" si="137">(D20/C20-1)*100</f>
        <v>8.3643283452988548</v>
      </c>
      <c r="E21" s="18">
        <f t="shared" si="137"/>
        <v>-9.4228927203065087</v>
      </c>
      <c r="F21" s="17">
        <f t="shared" si="137"/>
        <v>-10.381141220533152</v>
      </c>
      <c r="G21" s="18">
        <f t="shared" si="137"/>
        <v>-4.5724961895865057</v>
      </c>
      <c r="H21" s="17">
        <f t="shared" si="137"/>
        <v>9.8871657478489361</v>
      </c>
      <c r="I21" s="18">
        <f t="shared" si="137"/>
        <v>8.4724306076519049</v>
      </c>
      <c r="J21" s="17">
        <f t="shared" si="137"/>
        <v>0.63107845256105133</v>
      </c>
      <c r="K21" s="18">
        <f t="shared" si="137"/>
        <v>3.5307761694085338</v>
      </c>
      <c r="L21" s="17">
        <f t="shared" si="137"/>
        <v>-16.877567107828906</v>
      </c>
      <c r="M21" s="18">
        <f t="shared" si="137"/>
        <v>1.7269777888694771</v>
      </c>
      <c r="N21" s="18">
        <f>(N20/M20-1)*100</f>
        <v>2.9095726411854095</v>
      </c>
      <c r="O21" s="19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18">
        <f t="shared" ref="AA21:AL21" si="138">(AA20/O20-1)*100</f>
        <v>5.8047493403693862</v>
      </c>
      <c r="AB21" s="18">
        <f t="shared" si="138"/>
        <v>1.1467889908256979</v>
      </c>
      <c r="AC21" s="18">
        <f t="shared" si="138"/>
        <v>11.324041811846698</v>
      </c>
      <c r="AD21" s="18">
        <f t="shared" si="138"/>
        <v>-19.669000636537238</v>
      </c>
      <c r="AE21" s="18">
        <f t="shared" si="138"/>
        <v>7.3927392739273845</v>
      </c>
      <c r="AF21" s="18">
        <f t="shared" si="138"/>
        <v>4.457478005865112</v>
      </c>
      <c r="AG21" s="18">
        <f t="shared" si="138"/>
        <v>6.7827130852341044</v>
      </c>
      <c r="AH21" s="18">
        <f t="shared" si="138"/>
        <v>13.987022350396551</v>
      </c>
      <c r="AI21" s="18">
        <f t="shared" si="138"/>
        <v>-2.864583333333337</v>
      </c>
      <c r="AJ21" s="18">
        <f t="shared" si="138"/>
        <v>1.9151138716356098</v>
      </c>
      <c r="AK21" s="18">
        <f t="shared" si="138"/>
        <v>4.7671232876712377</v>
      </c>
      <c r="AL21" s="86">
        <f t="shared" si="138"/>
        <v>1.8636847710330029</v>
      </c>
      <c r="AM21" s="18">
        <f>(AM20/N20-1)*100</f>
        <v>6.5128254028797627</v>
      </c>
      <c r="AN21" s="116">
        <f t="shared" ref="AN21:AY21" si="139">(AN20/AA20-1)*100</f>
        <v>4.5511221945137237</v>
      </c>
      <c r="AO21" s="18">
        <f t="shared" si="139"/>
        <v>26.360544217687078</v>
      </c>
      <c r="AP21" s="86">
        <f t="shared" si="139"/>
        <v>-0.3129890453834161</v>
      </c>
      <c r="AQ21" s="18">
        <f t="shared" si="139"/>
        <v>58.79556259904912</v>
      </c>
      <c r="AR21" s="18">
        <f t="shared" si="139"/>
        <v>0.36877688998155911</v>
      </c>
      <c r="AS21" s="17">
        <f t="shared" si="139"/>
        <v>7.0185289163391396</v>
      </c>
      <c r="AT21" s="18">
        <f t="shared" si="139"/>
        <v>3.1478358628442837</v>
      </c>
      <c r="AU21" s="17">
        <f t="shared" si="139"/>
        <v>2.024035420619863</v>
      </c>
      <c r="AV21" s="18">
        <f t="shared" si="139"/>
        <v>-0.64343163538873593</v>
      </c>
      <c r="AW21" s="17">
        <f t="shared" si="139"/>
        <v>-1.6251904520060978</v>
      </c>
      <c r="AX21" s="18">
        <f t="shared" si="139"/>
        <v>-2.6150627615062816</v>
      </c>
      <c r="AY21" s="17">
        <f t="shared" si="139"/>
        <v>-1.7250392054364849</v>
      </c>
      <c r="AZ21" s="106">
        <f t="shared" ref="AZ21:BL21" si="140">(AZ20/AM20-1)*100</f>
        <v>3.8093106535362686</v>
      </c>
      <c r="BA21" s="123">
        <f t="shared" si="140"/>
        <v>0.65593321407275695</v>
      </c>
      <c r="BB21" s="18">
        <f t="shared" si="140"/>
        <v>-22.296994167788242</v>
      </c>
      <c r="BC21" s="18">
        <f t="shared" si="140"/>
        <v>-2.8780743066457393</v>
      </c>
      <c r="BD21" s="18">
        <f t="shared" si="140"/>
        <v>-10.129740518962072</v>
      </c>
      <c r="BE21" s="18">
        <f t="shared" si="140"/>
        <v>2.9393753827311686</v>
      </c>
      <c r="BF21" s="18">
        <f t="shared" si="140"/>
        <v>1.8887722980063026</v>
      </c>
      <c r="BG21" s="18">
        <f t="shared" si="140"/>
        <v>13.133514986376028</v>
      </c>
      <c r="BH21" s="18">
        <f t="shared" si="140"/>
        <v>9.4854308741475499</v>
      </c>
      <c r="BI21" s="18">
        <f t="shared" si="140"/>
        <v>21.586616297895311</v>
      </c>
      <c r="BJ21" s="18">
        <f t="shared" si="140"/>
        <v>10.944759938048531</v>
      </c>
      <c r="BK21" s="18">
        <f t="shared" si="140"/>
        <v>15.037593984962406</v>
      </c>
      <c r="BL21" s="18">
        <f t="shared" si="140"/>
        <v>11.968085106382986</v>
      </c>
      <c r="BM21" s="18">
        <f t="shared" ref="BM21:BX21" si="141">(BM20/BA20-1)*100</f>
        <v>10.130331753554511</v>
      </c>
      <c r="BN21" s="18">
        <f t="shared" si="141"/>
        <v>17.147806004618936</v>
      </c>
      <c r="BO21" s="18">
        <f t="shared" si="141"/>
        <v>13.954741379310342</v>
      </c>
      <c r="BP21" s="18">
        <f t="shared" si="141"/>
        <v>9.827873403664622</v>
      </c>
      <c r="BQ21" s="18">
        <f t="shared" si="141"/>
        <v>10.945865556216528</v>
      </c>
      <c r="BR21" s="18">
        <f t="shared" si="141"/>
        <v>12.66735324407826</v>
      </c>
      <c r="BS21" s="18">
        <f t="shared" si="141"/>
        <v>-0.19267822736031004</v>
      </c>
      <c r="BT21" s="18">
        <f t="shared" si="141"/>
        <v>12.740656851642118</v>
      </c>
      <c r="BU21" s="18">
        <f t="shared" si="141"/>
        <v>5.4150022192632097</v>
      </c>
      <c r="BV21" s="18">
        <f t="shared" si="141"/>
        <v>8.2363890181479817</v>
      </c>
      <c r="BW21" s="18">
        <f t="shared" si="141"/>
        <v>5.6489262371615334</v>
      </c>
      <c r="BX21" s="18">
        <f t="shared" si="141"/>
        <v>9.1211401425178131</v>
      </c>
      <c r="BY21" s="307">
        <f>(BY20/AZ20-1)*100</f>
        <v>9.3441421240998643</v>
      </c>
      <c r="BZ21" s="116">
        <f t="shared" ref="BZ21:DE21" si="142">(BZ20/BM20-1)*100</f>
        <v>7.7998924152770321</v>
      </c>
      <c r="CA21" s="18">
        <f t="shared" si="142"/>
        <v>13.159191720059148</v>
      </c>
      <c r="CB21" s="18">
        <f t="shared" si="142"/>
        <v>15.697399527186761</v>
      </c>
      <c r="CC21" s="18">
        <f t="shared" si="142"/>
        <v>16.632962588473198</v>
      </c>
      <c r="CD21" s="18">
        <f t="shared" si="142"/>
        <v>10.67024128686327</v>
      </c>
      <c r="CE21" s="86">
        <f t="shared" si="142"/>
        <v>6.3985374771480696</v>
      </c>
      <c r="CF21" s="86">
        <f t="shared" si="142"/>
        <v>13.706563706563713</v>
      </c>
      <c r="CG21" s="86">
        <f t="shared" si="142"/>
        <v>6.1778001004520355</v>
      </c>
      <c r="CH21" s="86">
        <f t="shared" si="142"/>
        <v>-5.7684210526315782</v>
      </c>
      <c r="CI21" s="86">
        <f t="shared" si="142"/>
        <v>-1.5477214101461745</v>
      </c>
      <c r="CJ21" s="18">
        <f t="shared" si="142"/>
        <v>6.0097216084843197</v>
      </c>
      <c r="CK21" s="106">
        <f t="shared" si="142"/>
        <v>4.3535045711795561E-2</v>
      </c>
      <c r="CL21" s="310">
        <f t="shared" si="142"/>
        <v>7.0313116176354606</v>
      </c>
      <c r="CM21" s="291">
        <f t="shared" si="142"/>
        <v>3.6926147704590795</v>
      </c>
      <c r="CN21" s="292">
        <f t="shared" si="142"/>
        <v>5.8362369337979114</v>
      </c>
      <c r="CO21" s="292">
        <f t="shared" si="142"/>
        <v>1.6755210461789849</v>
      </c>
      <c r="CP21" s="324">
        <f t="shared" si="142"/>
        <v>3.9445166883398386</v>
      </c>
      <c r="CQ21" s="331">
        <f t="shared" si="142"/>
        <v>-4.9418604651162763</v>
      </c>
      <c r="CR21" s="331">
        <f t="shared" si="142"/>
        <v>-5.884879725085912</v>
      </c>
      <c r="CS21" s="331">
        <f t="shared" si="142"/>
        <v>-4.5415959252971145</v>
      </c>
      <c r="CT21" s="331">
        <f t="shared" si="142"/>
        <v>-3.1220435193945129</v>
      </c>
      <c r="CU21" s="331">
        <f t="shared" si="142"/>
        <v>2.9937444146559411</v>
      </c>
      <c r="CV21" s="331">
        <f t="shared" si="142"/>
        <v>-0.91703056768559499</v>
      </c>
      <c r="CW21" s="324">
        <f t="shared" si="142"/>
        <v>-3.7098791162984535</v>
      </c>
      <c r="CX21" s="314">
        <f t="shared" si="142"/>
        <v>1.1749347258485532</v>
      </c>
      <c r="CY21" s="310">
        <f t="shared" si="142"/>
        <v>-0.32423271065915582</v>
      </c>
      <c r="CZ21" s="324">
        <f t="shared" si="142"/>
        <v>11.886429258902798</v>
      </c>
      <c r="DA21" s="324">
        <f t="shared" si="142"/>
        <v>-7.8189300411522611</v>
      </c>
      <c r="DB21" s="324">
        <f t="shared" si="142"/>
        <v>-13.062700964630224</v>
      </c>
      <c r="DC21" s="324">
        <f t="shared" si="142"/>
        <v>-4.8790658882401967</v>
      </c>
      <c r="DD21" s="324">
        <f t="shared" si="142"/>
        <v>-6.9826707441386304</v>
      </c>
      <c r="DE21" s="324">
        <f t="shared" si="142"/>
        <v>14.011866727521681</v>
      </c>
      <c r="DF21" s="324">
        <f>(DF20/CS20-1)*100</f>
        <v>-7.5144508670520249</v>
      </c>
      <c r="DG21" s="324">
        <f>(DG20/CT20-1)*100</f>
        <v>-13.525390625</v>
      </c>
      <c r="DH21" s="324">
        <f>(DH20/CT20-1)*100</f>
        <v>-3.076171875</v>
      </c>
      <c r="DI21" s="324">
        <f>(DI20/CU20-1)*100</f>
        <v>1.6485900216919758</v>
      </c>
      <c r="DJ21" s="324">
        <f>(DJ20/CV20-1)*100</f>
        <v>3.2172763331864251</v>
      </c>
      <c r="DK21" s="324">
        <f>(DK20/CW20-1)*100</f>
        <v>-1.9047619047619091</v>
      </c>
      <c r="DL21" s="310">
        <f t="shared" ref="DL21:EL21" si="143">(DL20/CY20-1)*100</f>
        <v>-3.4524821646397807</v>
      </c>
      <c r="DM21" s="324">
        <f t="shared" si="143"/>
        <v>-13.33333333333333</v>
      </c>
      <c r="DN21" s="324">
        <f t="shared" si="143"/>
        <v>10.312499999999991</v>
      </c>
      <c r="DO21" s="324">
        <f t="shared" si="143"/>
        <v>10.032362459546928</v>
      </c>
      <c r="DP21" s="324">
        <f t="shared" si="143"/>
        <v>0.48224462954844505</v>
      </c>
      <c r="DQ21" s="324">
        <f t="shared" si="143"/>
        <v>17.972602739726028</v>
      </c>
      <c r="DR21" s="324">
        <f t="shared" si="143"/>
        <v>-8.0064051240992811</v>
      </c>
      <c r="DS21" s="324">
        <f t="shared" si="143"/>
        <v>10.961538461538467</v>
      </c>
      <c r="DT21" s="324">
        <f t="shared" si="143"/>
        <v>13.269339356295884</v>
      </c>
      <c r="DU21" s="324">
        <f t="shared" si="143"/>
        <v>21.712846347607062</v>
      </c>
      <c r="DV21" s="324">
        <f t="shared" si="143"/>
        <v>15.450277422108405</v>
      </c>
      <c r="DW21" s="324">
        <f t="shared" si="143"/>
        <v>5.2946199829205787</v>
      </c>
      <c r="DX21" s="292">
        <f t="shared" si="143"/>
        <v>8.7819947043247915</v>
      </c>
      <c r="DY21" s="401">
        <f t="shared" si="143"/>
        <v>7.1059382059037501</v>
      </c>
      <c r="DZ21" s="324">
        <f t="shared" si="143"/>
        <v>-1.3895781637717097</v>
      </c>
      <c r="EA21" s="324">
        <f t="shared" si="143"/>
        <v>-9.5912585997571789</v>
      </c>
      <c r="EB21" s="324">
        <f t="shared" si="143"/>
        <v>-4.4537815126050369</v>
      </c>
      <c r="EC21" s="324">
        <f t="shared" si="143"/>
        <v>-5.5846422338568953</v>
      </c>
      <c r="ED21" s="324">
        <f t="shared" si="143"/>
        <v>-10.915002322340916</v>
      </c>
      <c r="EE21" s="324">
        <f t="shared" si="143"/>
        <v>-4.6997389033942572</v>
      </c>
      <c r="EF21" s="324">
        <f t="shared" si="143"/>
        <v>-7.8422876949740044</v>
      </c>
      <c r="EG21" s="324">
        <f t="shared" si="143"/>
        <v>-9.6211365902293071</v>
      </c>
      <c r="EH21" s="324">
        <f t="shared" si="143"/>
        <v>-8.7748344370860885</v>
      </c>
      <c r="EI21" s="324">
        <f t="shared" si="143"/>
        <v>-19.038817005545283</v>
      </c>
      <c r="EJ21" s="324">
        <f t="shared" si="143"/>
        <v>-19.545823195458233</v>
      </c>
      <c r="EK21" s="324">
        <f t="shared" si="143"/>
        <v>-33.590263691683575</v>
      </c>
      <c r="EL21" s="401">
        <f t="shared" si="143"/>
        <v>-11.628239499553173</v>
      </c>
      <c r="EM21" s="324">
        <f t="shared" ref="EM21:EX21" si="144">(EM20/DZ20-1)*100</f>
        <v>-37.141419224962256</v>
      </c>
      <c r="EN21" s="324">
        <f t="shared" si="144"/>
        <v>-37.555953446732318</v>
      </c>
      <c r="EO21" s="324">
        <f t="shared" si="144"/>
        <v>-52.154793315743184</v>
      </c>
      <c r="EP21" s="324">
        <f t="shared" si="144"/>
        <v>-45.466358595194087</v>
      </c>
      <c r="EQ21" s="324">
        <f t="shared" si="144"/>
        <v>-46.141605839416066</v>
      </c>
      <c r="ER21" s="324">
        <f t="shared" si="144"/>
        <v>-42.23214611872146</v>
      </c>
      <c r="ES21" s="324">
        <f t="shared" si="144"/>
        <v>-35.898119417019281</v>
      </c>
      <c r="ET21" s="324">
        <f t="shared" si="144"/>
        <v>-27.167843353557643</v>
      </c>
      <c r="EU21" s="324">
        <f t="shared" si="144"/>
        <v>-33.485707803992746</v>
      </c>
      <c r="EV21" s="324">
        <f t="shared" si="144"/>
        <v>-29.831187214611877</v>
      </c>
      <c r="EW21" s="324">
        <f t="shared" si="144"/>
        <v>-20.804284274193552</v>
      </c>
      <c r="EX21" s="324">
        <f t="shared" si="144"/>
        <v>-3.7862553451435521</v>
      </c>
      <c r="EY21" s="401">
        <f t="shared" ref="EY21:FX21" si="145">(EY20/EL20-1)*100</f>
        <v>-35.10615645983335</v>
      </c>
      <c r="EZ21" s="324">
        <f t="shared" si="145"/>
        <v>20.894155324259422</v>
      </c>
      <c r="FA21" s="324">
        <f t="shared" si="145"/>
        <v>22.411612903225819</v>
      </c>
      <c r="FB21" s="324">
        <f t="shared" si="145"/>
        <v>57.97058823529413</v>
      </c>
      <c r="FC21" s="324">
        <f t="shared" si="145"/>
        <v>34.821812918817606</v>
      </c>
      <c r="FD21" s="324">
        <f t="shared" si="145"/>
        <v>35.02019353264847</v>
      </c>
      <c r="FE21" s="324">
        <f t="shared" si="145"/>
        <v>24.027243351597804</v>
      </c>
      <c r="FF21" s="324">
        <f t="shared" si="145"/>
        <v>13.585859956419299</v>
      </c>
      <c r="FG21" s="324">
        <f t="shared" si="145"/>
        <v>-3.8056809550099269</v>
      </c>
      <c r="FH21" s="324">
        <f t="shared" si="145"/>
        <v>-10.512184723477546</v>
      </c>
      <c r="FI21" s="324">
        <f t="shared" si="145"/>
        <v>-16.837170893155896</v>
      </c>
      <c r="FJ21" s="324">
        <f t="shared" si="145"/>
        <v>-15.300408657349628</v>
      </c>
      <c r="FK21" s="324">
        <f t="shared" si="145"/>
        <v>-17.240172975691092</v>
      </c>
      <c r="FL21" s="401">
        <f t="shared" si="145"/>
        <v>9.2949659965034126</v>
      </c>
      <c r="FM21" s="324">
        <f t="shared" si="145"/>
        <v>-21.015478473715998</v>
      </c>
      <c r="FN21" s="324">
        <f t="shared" si="145"/>
        <v>-20.719530205979943</v>
      </c>
      <c r="FO21" s="324">
        <f t="shared" si="145"/>
        <v>-22.495112641966109</v>
      </c>
      <c r="FP21" s="324">
        <f t="shared" si="145"/>
        <v>-21.256936487574496</v>
      </c>
      <c r="FQ21" s="324">
        <f t="shared" si="145"/>
        <v>-22.444291650773884</v>
      </c>
      <c r="FR21" s="324">
        <f t="shared" si="145"/>
        <v>-17.362914838774245</v>
      </c>
      <c r="FS21" s="324">
        <f t="shared" si="145"/>
        <v>-8.2124682714280421</v>
      </c>
      <c r="FT21" s="324">
        <f t="shared" si="145"/>
        <v>-0.41143289022550489</v>
      </c>
      <c r="FU21" s="324">
        <f t="shared" si="145"/>
        <v>3.1272634691421386</v>
      </c>
      <c r="FV21" s="324">
        <f t="shared" si="145"/>
        <v>7.752131970881404</v>
      </c>
      <c r="FW21" s="324">
        <f t="shared" si="145"/>
        <v>3.9068363323996769</v>
      </c>
      <c r="FX21" s="324">
        <f t="shared" si="145"/>
        <v>-1.1469501328364107</v>
      </c>
      <c r="FY21" s="401">
        <f t="shared" ref="FY21:HY21" si="146">(FY20/FL20-1)*100</f>
        <v>-11.045436861106939</v>
      </c>
      <c r="FZ21" s="324">
        <f t="shared" si="146"/>
        <v>2.9180365256602725</v>
      </c>
      <c r="GA21" s="324">
        <f t="shared" si="146"/>
        <v>-0.17660311889278191</v>
      </c>
      <c r="GB21" s="324">
        <f t="shared" si="146"/>
        <v>3.3677929152040376</v>
      </c>
      <c r="GC21" s="324">
        <f t="shared" si="146"/>
        <v>1.0972545488795005</v>
      </c>
      <c r="GD21" s="324">
        <f t="shared" si="146"/>
        <v>5.6377575287336557</v>
      </c>
      <c r="GE21" s="324">
        <f t="shared" si="146"/>
        <v>4.6674080649427907</v>
      </c>
      <c r="GF21" s="324">
        <f t="shared" si="146"/>
        <v>-4.7823426260425688</v>
      </c>
      <c r="GG21" s="324">
        <f t="shared" si="146"/>
        <v>-15.208530801940601</v>
      </c>
      <c r="GH21" s="324">
        <f t="shared" si="146"/>
        <v>-11.82245091376668</v>
      </c>
      <c r="GI21" s="324">
        <f t="shared" si="146"/>
        <v>-13.562661202926673</v>
      </c>
      <c r="GJ21" s="324">
        <f t="shared" si="146"/>
        <v>-21.481454697974435</v>
      </c>
      <c r="GK21" s="324">
        <f t="shared" si="146"/>
        <v>-18.753105761305079</v>
      </c>
      <c r="GL21" s="401">
        <f t="shared" si="146"/>
        <v>-5.9832526685752345</v>
      </c>
      <c r="GM21" s="324">
        <f t="shared" si="146"/>
        <v>-8.296982009832309</v>
      </c>
      <c r="GN21" s="324">
        <f t="shared" si="146"/>
        <v>-2.8765334525349573</v>
      </c>
      <c r="GO21" s="324">
        <f t="shared" si="146"/>
        <v>-0.15912658236030275</v>
      </c>
      <c r="GP21" s="324">
        <f t="shared" si="146"/>
        <v>6.9328432377259608</v>
      </c>
      <c r="GQ21" s="324">
        <f t="shared" si="146"/>
        <v>17.338368875643884</v>
      </c>
      <c r="GR21" s="324">
        <f t="shared" si="146"/>
        <v>12.891254728869782</v>
      </c>
      <c r="GS21" s="324">
        <f t="shared" si="146"/>
        <v>12.456688759727431</v>
      </c>
      <c r="GT21" s="324">
        <f t="shared" si="146"/>
        <v>15.037137355351904</v>
      </c>
      <c r="GU21" s="324">
        <f t="shared" si="146"/>
        <v>29.460690408217683</v>
      </c>
      <c r="GV21" s="324">
        <f t="shared" si="146"/>
        <v>29.980306956080472</v>
      </c>
      <c r="GW21" s="324">
        <f t="shared" si="146"/>
        <v>38.081909930022519</v>
      </c>
      <c r="GX21" s="324">
        <f t="shared" si="146"/>
        <v>41.040610843822776</v>
      </c>
      <c r="GY21" s="401">
        <f t="shared" si="146"/>
        <v>14.997730982871582</v>
      </c>
      <c r="GZ21" s="324">
        <f t="shared" si="146"/>
        <v>19.113860849572049</v>
      </c>
      <c r="HA21" s="324">
        <f t="shared" si="146"/>
        <v>13.9404395010305</v>
      </c>
      <c r="HB21" s="324">
        <f t="shared" si="146"/>
        <v>11.886412421631952</v>
      </c>
      <c r="HC21" s="324">
        <f t="shared" si="146"/>
        <v>9.6745184004938025</v>
      </c>
      <c r="HD21" s="324">
        <f t="shared" si="146"/>
        <v>2.37032285972123</v>
      </c>
      <c r="HE21" s="324">
        <f t="shared" si="146"/>
        <v>-2.8463735008566471</v>
      </c>
      <c r="HF21" s="324">
        <f t="shared" si="146"/>
        <v>1.5604941632738178</v>
      </c>
      <c r="HG21" s="324">
        <f t="shared" si="146"/>
        <v>1.3190995500343528</v>
      </c>
      <c r="HH21" s="324">
        <f t="shared" si="146"/>
        <v>3.6421642988437419</v>
      </c>
      <c r="HI21" s="324">
        <f t="shared" si="146"/>
        <v>3.0712022514177928</v>
      </c>
      <c r="HJ21" s="324">
        <f t="shared" si="146"/>
        <v>-0.97367840065418765</v>
      </c>
      <c r="HK21" s="324">
        <f t="shared" si="146"/>
        <v>0.36402572493605678</v>
      </c>
      <c r="HL21" s="401">
        <f t="shared" si="146"/>
        <v>4.834712517881723</v>
      </c>
      <c r="HM21" s="324">
        <f t="shared" si="146"/>
        <v>4.463478595530268</v>
      </c>
      <c r="HN21" s="324">
        <f t="shared" si="146"/>
        <v>-2.7929079702421422</v>
      </c>
      <c r="HO21" s="324">
        <f t="shared" si="146"/>
        <v>-0.31420392894687676</v>
      </c>
      <c r="HP21" s="324">
        <f t="shared" si="146"/>
        <v>2.4991517573433653</v>
      </c>
      <c r="HQ21" s="292">
        <f t="shared" si="146"/>
        <v>-6.5580805063630514</v>
      </c>
      <c r="HR21" s="440">
        <f t="shared" si="146"/>
        <v>2.6330940568284555</v>
      </c>
      <c r="HS21" s="446">
        <f t="shared" si="146"/>
        <v>4.9417384222377958</v>
      </c>
      <c r="HT21" s="446">
        <f t="shared" si="146"/>
        <v>3.4739086892112025</v>
      </c>
      <c r="HU21" s="446">
        <f t="shared" si="146"/>
        <v>-4.0733452035110806</v>
      </c>
      <c r="HV21" s="446">
        <f t="shared" si="146"/>
        <v>-6.9204184797843293</v>
      </c>
      <c r="HW21" s="446">
        <f t="shared" si="146"/>
        <v>3.2296848110516585</v>
      </c>
      <c r="HX21" s="446">
        <f t="shared" si="146"/>
        <v>-4.5992392296745006</v>
      </c>
      <c r="HY21" s="480">
        <f t="shared" si="146"/>
        <v>-0.43214241795895836</v>
      </c>
      <c r="HZ21" s="446">
        <f>(1354/1401-1)*100</f>
        <v>-3.3547466095645961</v>
      </c>
      <c r="IA21" s="446">
        <f>(1571/1454-1)*100</f>
        <v>8.0467675378266925</v>
      </c>
      <c r="IB21" s="446">
        <f>(1575/HO20-1)*100</f>
        <v>2.7169447089360643</v>
      </c>
      <c r="IC21" s="446">
        <f>(1548/HP20-1)*100</f>
        <v>1.6717382123507596</v>
      </c>
      <c r="ID21" s="446">
        <f>(1290/HQ20-1)*100</f>
        <v>0.57734514792275871</v>
      </c>
      <c r="IE21" s="446">
        <f>(1599/HR20-1)*100</f>
        <v>4.6665300786995489</v>
      </c>
      <c r="IF21" s="446">
        <f>(1566/HS20-1)*100</f>
        <v>-3.4683584566279513</v>
      </c>
      <c r="IG21" s="446">
        <f>(1279/HT20-1)*100</f>
        <v>-1.1268753232316242</v>
      </c>
      <c r="IH21" s="446">
        <f>(1566/HU20-1)*100</f>
        <v>1.9896447295581154</v>
      </c>
      <c r="II21" s="446">
        <f>(1578/HV20-1)*100</f>
        <v>6.3146022904126964</v>
      </c>
      <c r="IJ21" s="446">
        <f>(1647/HW20-1)*100</f>
        <v>7.4633877392560999</v>
      </c>
      <c r="IK21" s="446">
        <f>(1572/HX20-1)*100</f>
        <v>11.19269014162214</v>
      </c>
      <c r="IL21" s="478">
        <f>(18146/HY20-1)*100</f>
        <v>3.0876530237530009</v>
      </c>
      <c r="IM21" s="446">
        <f>(IM20/HZ20-1)*100</f>
        <v>8.6273765690283888</v>
      </c>
      <c r="IN21" s="506">
        <f t="shared" ref="IN21:IX21" si="147">(IN20/IA20-1)*100</f>
        <v>-1.2451846325807869</v>
      </c>
      <c r="IO21" s="506">
        <f t="shared" si="147"/>
        <v>6.7170736600708825</v>
      </c>
      <c r="IP21" s="506">
        <f t="shared" si="147"/>
        <v>3.6507084606457019</v>
      </c>
      <c r="IQ21" s="506">
        <f t="shared" si="147"/>
        <v>11.010048610804169</v>
      </c>
      <c r="IR21" s="506">
        <f t="shared" si="147"/>
        <v>5.8107504606643268</v>
      </c>
      <c r="IS21" s="506">
        <f t="shared" si="147"/>
        <v>4.1195914439991377</v>
      </c>
      <c r="IT21" s="506">
        <f t="shared" si="147"/>
        <v>8.0684462782394828</v>
      </c>
      <c r="IU21" s="506">
        <f t="shared" si="147"/>
        <v>-11.149323452064841</v>
      </c>
      <c r="IV21" s="506">
        <f t="shared" si="147"/>
        <v>3.1908731154664194</v>
      </c>
      <c r="IW21" s="506">
        <f t="shared" si="147"/>
        <v>-0.51657846590157375</v>
      </c>
      <c r="IX21" s="506">
        <f t="shared" si="147"/>
        <v>2.6021619173851374</v>
      </c>
      <c r="IY21" s="478">
        <f>(IY20/IL20-1)*100</f>
        <v>3.1436669692546326</v>
      </c>
      <c r="IZ21" s="506">
        <f>(IZ20/IM20-1)*100</f>
        <v>-4.3353642290480661</v>
      </c>
      <c r="JA21" s="506">
        <f t="shared" ref="JA21:JE21" si="148">(JA20/IN20-1)*100</f>
        <v>0.35889007057914313</v>
      </c>
      <c r="JB21" s="506">
        <f t="shared" si="148"/>
        <v>-3.3261286152246217</v>
      </c>
      <c r="JC21" s="506">
        <f t="shared" si="148"/>
        <v>-2.8096129125923852</v>
      </c>
      <c r="JD21" s="506">
        <f t="shared" si="148"/>
        <v>-3.0665260334446276</v>
      </c>
      <c r="JE21" s="506">
        <f t="shared" si="148"/>
        <v>-2.9578897651386549</v>
      </c>
      <c r="JF21" s="506">
        <f>(JF20/1631-1)*100</f>
        <v>-1.3488657265481319</v>
      </c>
      <c r="JG21" s="506">
        <f>(JG20/IT20-1)*100</f>
        <v>0.24848018379577397</v>
      </c>
      <c r="JH21" s="506">
        <f t="shared" ref="JH21:JK21" si="149">(JH20/IU20-1)*100</f>
        <v>12.871178223060653</v>
      </c>
      <c r="JI21" s="506">
        <f t="shared" si="149"/>
        <v>3.1603786042300852</v>
      </c>
      <c r="JJ21" s="506">
        <f t="shared" si="149"/>
        <v>-7.9201009477269935E-2</v>
      </c>
      <c r="JK21" s="506">
        <f t="shared" si="149"/>
        <v>-3.7138100025910892</v>
      </c>
      <c r="JL21" s="531">
        <f>(JL20/18716-1)*100</f>
        <v>-0.53964522333832532</v>
      </c>
      <c r="JM21" s="506">
        <f t="shared" si="29"/>
        <v>-0.19771408190626394</v>
      </c>
      <c r="JN21" s="572">
        <f>(JN20/1557-1)*100</f>
        <v>-3.8535645472061675</v>
      </c>
    </row>
    <row r="22" spans="1:274" x14ac:dyDescent="0.15">
      <c r="A22" s="554"/>
      <c r="B22" s="15" t="s">
        <v>35</v>
      </c>
      <c r="C22" s="27">
        <v>978</v>
      </c>
      <c r="D22" s="28">
        <v>1215</v>
      </c>
      <c r="E22" s="29">
        <v>1219</v>
      </c>
      <c r="F22" s="28">
        <v>1062</v>
      </c>
      <c r="G22" s="29">
        <v>993</v>
      </c>
      <c r="H22" s="134">
        <v>991</v>
      </c>
      <c r="I22" s="29">
        <v>1101</v>
      </c>
      <c r="J22" s="28">
        <v>1162</v>
      </c>
      <c r="K22" s="29">
        <v>1324</v>
      </c>
      <c r="L22" s="28">
        <v>1026</v>
      </c>
      <c r="M22" s="29">
        <v>1023</v>
      </c>
      <c r="N22" s="25">
        <f>SUM(AA22:AL22)</f>
        <v>1210</v>
      </c>
      <c r="O22" s="29">
        <v>76</v>
      </c>
      <c r="P22" s="28">
        <v>108</v>
      </c>
      <c r="Q22" s="28">
        <v>82</v>
      </c>
      <c r="R22" s="28">
        <v>75</v>
      </c>
      <c r="S22" s="28">
        <v>69</v>
      </c>
      <c r="T22" s="28">
        <v>80</v>
      </c>
      <c r="U22" s="28">
        <v>77</v>
      </c>
      <c r="V22" s="28">
        <v>67</v>
      </c>
      <c r="W22" s="28">
        <v>87</v>
      </c>
      <c r="X22" s="28">
        <v>101</v>
      </c>
      <c r="Y22" s="28">
        <v>99</v>
      </c>
      <c r="Z22" s="28">
        <v>102</v>
      </c>
      <c r="AA22" s="29">
        <v>88</v>
      </c>
      <c r="AB22" s="28">
        <v>97</v>
      </c>
      <c r="AC22" s="29">
        <v>111</v>
      </c>
      <c r="AD22" s="28">
        <v>104</v>
      </c>
      <c r="AE22" s="29">
        <v>95</v>
      </c>
      <c r="AF22" s="28">
        <v>99</v>
      </c>
      <c r="AG22" s="29">
        <v>97</v>
      </c>
      <c r="AH22" s="28">
        <v>90</v>
      </c>
      <c r="AI22" s="29">
        <v>102</v>
      </c>
      <c r="AJ22" s="28">
        <v>109</v>
      </c>
      <c r="AK22" s="29">
        <v>107</v>
      </c>
      <c r="AL22" s="28">
        <v>111</v>
      </c>
      <c r="AM22" s="23">
        <f>SUM(AN22:AY22)</f>
        <v>1249</v>
      </c>
      <c r="AN22" s="118">
        <v>98</v>
      </c>
      <c r="AO22" s="28">
        <v>110</v>
      </c>
      <c r="AP22" s="88">
        <v>113</v>
      </c>
      <c r="AQ22" s="29">
        <v>113</v>
      </c>
      <c r="AR22" s="29">
        <v>93</v>
      </c>
      <c r="AS22" s="28">
        <v>104</v>
      </c>
      <c r="AT22" s="29">
        <v>132</v>
      </c>
      <c r="AU22" s="28">
        <v>88</v>
      </c>
      <c r="AV22" s="29">
        <v>101</v>
      </c>
      <c r="AW22" s="28">
        <v>108</v>
      </c>
      <c r="AX22" s="29">
        <v>97</v>
      </c>
      <c r="AY22" s="28">
        <v>92</v>
      </c>
      <c r="AZ22" s="104">
        <f>SUM(BA22:BL22)</f>
        <v>1217</v>
      </c>
      <c r="BA22" s="21">
        <v>83</v>
      </c>
      <c r="BB22" s="23">
        <v>92</v>
      </c>
      <c r="BC22" s="23">
        <v>98</v>
      </c>
      <c r="BD22" s="23">
        <v>93</v>
      </c>
      <c r="BE22" s="23">
        <v>87</v>
      </c>
      <c r="BF22" s="23">
        <v>101</v>
      </c>
      <c r="BG22" s="23">
        <v>108</v>
      </c>
      <c r="BH22" s="23">
        <v>89</v>
      </c>
      <c r="BI22" s="23">
        <v>116</v>
      </c>
      <c r="BJ22" s="23">
        <v>112</v>
      </c>
      <c r="BK22" s="23">
        <v>118</v>
      </c>
      <c r="BL22" s="23">
        <v>120</v>
      </c>
      <c r="BM22" s="23">
        <v>109</v>
      </c>
      <c r="BN22" s="23">
        <v>128</v>
      </c>
      <c r="BO22" s="23">
        <v>125</v>
      </c>
      <c r="BP22" s="23">
        <v>115</v>
      </c>
      <c r="BQ22" s="23">
        <v>107</v>
      </c>
      <c r="BR22" s="23">
        <v>108</v>
      </c>
      <c r="BS22" s="23">
        <v>103</v>
      </c>
      <c r="BT22" s="23">
        <v>97</v>
      </c>
      <c r="BU22" s="23">
        <v>118</v>
      </c>
      <c r="BV22" s="23">
        <v>121</v>
      </c>
      <c r="BW22" s="23">
        <v>119</v>
      </c>
      <c r="BX22" s="23">
        <v>118</v>
      </c>
      <c r="BY22" s="104">
        <f>SUM(BM22:BX22)</f>
        <v>1368</v>
      </c>
      <c r="BZ22" s="117">
        <v>106</v>
      </c>
      <c r="CA22" s="23">
        <v>128</v>
      </c>
      <c r="CB22" s="23">
        <v>131</v>
      </c>
      <c r="CC22" s="23">
        <v>126</v>
      </c>
      <c r="CD22" s="19">
        <v>103</v>
      </c>
      <c r="CE22" s="154">
        <v>124</v>
      </c>
      <c r="CF22" s="154">
        <v>131</v>
      </c>
      <c r="CG22" s="154">
        <v>114</v>
      </c>
      <c r="CH22" s="154">
        <v>131</v>
      </c>
      <c r="CI22" s="154">
        <v>138</v>
      </c>
      <c r="CJ22" s="19">
        <v>150</v>
      </c>
      <c r="CK22" s="15">
        <v>150</v>
      </c>
      <c r="CL22" s="311">
        <f>SUM(BZ22:CK22)</f>
        <v>1532</v>
      </c>
      <c r="CM22" s="293">
        <v>134</v>
      </c>
      <c r="CN22" s="294">
        <v>149</v>
      </c>
      <c r="CO22" s="294">
        <v>146</v>
      </c>
      <c r="CP22" s="325">
        <v>144</v>
      </c>
      <c r="CQ22" s="332">
        <v>121</v>
      </c>
      <c r="CR22" s="332">
        <v>149</v>
      </c>
      <c r="CS22" s="332">
        <v>144</v>
      </c>
      <c r="CT22" s="332">
        <v>131</v>
      </c>
      <c r="CU22" s="332">
        <v>150</v>
      </c>
      <c r="CV22" s="332">
        <v>150</v>
      </c>
      <c r="CW22" s="325">
        <v>164</v>
      </c>
      <c r="CX22" s="315">
        <v>171</v>
      </c>
      <c r="CY22" s="311">
        <f>SUM(CM22:CX22)</f>
        <v>1753</v>
      </c>
      <c r="CZ22" s="325">
        <v>162</v>
      </c>
      <c r="DA22" s="325">
        <v>186</v>
      </c>
      <c r="DB22" s="325">
        <v>186</v>
      </c>
      <c r="DC22" s="325">
        <v>193</v>
      </c>
      <c r="DD22" s="325">
        <v>148</v>
      </c>
      <c r="DE22" s="325">
        <v>189</v>
      </c>
      <c r="DF22" s="325">
        <v>155</v>
      </c>
      <c r="DG22" s="325">
        <v>147</v>
      </c>
      <c r="DH22" s="325">
        <v>161</v>
      </c>
      <c r="DI22" s="325">
        <v>193</v>
      </c>
      <c r="DJ22" s="325">
        <v>186</v>
      </c>
      <c r="DK22" s="325">
        <v>175</v>
      </c>
      <c r="DL22" s="311">
        <f>SUM(CZ22:DK22)</f>
        <v>2081</v>
      </c>
      <c r="DM22" s="325">
        <v>157</v>
      </c>
      <c r="DN22" s="325">
        <v>190</v>
      </c>
      <c r="DO22" s="325">
        <v>195</v>
      </c>
      <c r="DP22" s="325">
        <v>184</v>
      </c>
      <c r="DQ22" s="325">
        <v>177</v>
      </c>
      <c r="DR22" s="325">
        <v>195</v>
      </c>
      <c r="DS22" s="325">
        <v>205</v>
      </c>
      <c r="DT22" s="325">
        <v>180</v>
      </c>
      <c r="DU22" s="325">
        <v>214</v>
      </c>
      <c r="DV22" s="325">
        <v>233</v>
      </c>
      <c r="DW22" s="325">
        <v>228</v>
      </c>
      <c r="DX22" s="294">
        <v>244</v>
      </c>
      <c r="DY22" s="402">
        <f>SUM(DM22:DX22)</f>
        <v>2402</v>
      </c>
      <c r="DZ22" s="325">
        <v>214</v>
      </c>
      <c r="EA22" s="325">
        <v>241</v>
      </c>
      <c r="EB22" s="325">
        <v>239</v>
      </c>
      <c r="EC22" s="325">
        <v>226</v>
      </c>
      <c r="ED22" s="325">
        <v>193</v>
      </c>
      <c r="EE22" s="325">
        <v>231</v>
      </c>
      <c r="EF22" s="325">
        <v>250</v>
      </c>
      <c r="EG22" s="325">
        <v>212</v>
      </c>
      <c r="EH22" s="325">
        <v>257</v>
      </c>
      <c r="EI22" s="325">
        <v>236</v>
      </c>
      <c r="EJ22" s="325">
        <v>203</v>
      </c>
      <c r="EK22" s="325">
        <v>120</v>
      </c>
      <c r="EL22" s="402">
        <f>SUM(DZ22:EK22)</f>
        <v>2622</v>
      </c>
      <c r="EM22" s="325">
        <v>71</v>
      </c>
      <c r="EN22" s="325">
        <v>69</v>
      </c>
      <c r="EO22" s="325">
        <v>74</v>
      </c>
      <c r="EP22" s="325">
        <v>77.971000000000004</v>
      </c>
      <c r="EQ22" s="325">
        <v>65.644999999999996</v>
      </c>
      <c r="ER22" s="325">
        <v>78.808000000000007</v>
      </c>
      <c r="ES22" s="325">
        <v>85.248999999999995</v>
      </c>
      <c r="ET22" s="325">
        <v>82</v>
      </c>
      <c r="EU22" s="325">
        <v>102.628</v>
      </c>
      <c r="EV22" s="325">
        <v>113.932</v>
      </c>
      <c r="EW22" s="325">
        <v>116.068</v>
      </c>
      <c r="EX22" s="325">
        <v>124.87</v>
      </c>
      <c r="EY22" s="402">
        <f>SUM(EM22:EX22)</f>
        <v>1061.171</v>
      </c>
      <c r="EZ22" s="325">
        <v>126.20099999999999</v>
      </c>
      <c r="FA22" s="325">
        <v>147.40899999999999</v>
      </c>
      <c r="FB22" s="325">
        <v>148.59899999999999</v>
      </c>
      <c r="FC22" s="325">
        <v>134.31399999999999</v>
      </c>
      <c r="FD22" s="325">
        <v>119.696</v>
      </c>
      <c r="FE22" s="325">
        <v>135.63900000000001</v>
      </c>
      <c r="FF22" s="325">
        <v>127.628</v>
      </c>
      <c r="FG22" s="325">
        <v>98.108000000000004</v>
      </c>
      <c r="FH22" s="325">
        <v>95.763000000000005</v>
      </c>
      <c r="FI22" s="325">
        <v>97.111000000000004</v>
      </c>
      <c r="FJ22" s="325">
        <v>105.268</v>
      </c>
      <c r="FK22" s="325">
        <v>111.191</v>
      </c>
      <c r="FL22" s="402">
        <f>SUM(EZ22:FK22)</f>
        <v>1446.9270000000001</v>
      </c>
      <c r="FM22" s="325">
        <v>112.53</v>
      </c>
      <c r="FN22" s="325">
        <v>130.71899999999999</v>
      </c>
      <c r="FO22" s="325">
        <v>118.101</v>
      </c>
      <c r="FP22" s="325">
        <v>112.93300000000001</v>
      </c>
      <c r="FQ22" s="325">
        <v>101.116</v>
      </c>
      <c r="FR22" s="325">
        <v>127.723</v>
      </c>
      <c r="FS22" s="325">
        <v>121.708</v>
      </c>
      <c r="FT22" s="325">
        <v>108.276</v>
      </c>
      <c r="FU22" s="325">
        <v>118.85899999999999</v>
      </c>
      <c r="FV22" s="325">
        <v>116.621</v>
      </c>
      <c r="FW22" s="325">
        <v>112.82299999999999</v>
      </c>
      <c r="FX22" s="325">
        <v>105.721</v>
      </c>
      <c r="FY22" s="402">
        <f>SUM(FM22:FX22)</f>
        <v>1387.13</v>
      </c>
      <c r="FZ22" s="325">
        <v>101.41800000000001</v>
      </c>
      <c r="GA22" s="325">
        <v>120.33</v>
      </c>
      <c r="GB22" s="325">
        <v>136.65100000000001</v>
      </c>
      <c r="GC22" s="325">
        <v>146.733</v>
      </c>
      <c r="GD22" s="325">
        <v>114.85899999999999</v>
      </c>
      <c r="GE22" s="325">
        <v>120.218</v>
      </c>
      <c r="GF22" s="325">
        <v>108.235</v>
      </c>
      <c r="GG22" s="325">
        <v>75.418000000000006</v>
      </c>
      <c r="GH22" s="325">
        <v>98.465999999999994</v>
      </c>
      <c r="GI22" s="325">
        <v>110.777</v>
      </c>
      <c r="GJ22" s="325">
        <v>105.736</v>
      </c>
      <c r="GK22" s="325">
        <v>105.52</v>
      </c>
      <c r="GL22" s="402">
        <f>SUM(FZ22:GK22)</f>
        <v>1344.3610000000001</v>
      </c>
      <c r="GM22" s="325">
        <v>112.41200000000001</v>
      </c>
      <c r="GN22" s="325">
        <v>135.398</v>
      </c>
      <c r="GO22" s="325">
        <v>141.792</v>
      </c>
      <c r="GP22" s="325">
        <v>146.929</v>
      </c>
      <c r="GQ22" s="325">
        <v>129.59700000000001</v>
      </c>
      <c r="GR22" s="325">
        <v>145.71899999999999</v>
      </c>
      <c r="GS22" s="325">
        <v>149.96700000000001</v>
      </c>
      <c r="GT22" s="325">
        <v>124.613</v>
      </c>
      <c r="GU22" s="325">
        <v>158.49199999999999</v>
      </c>
      <c r="GV22" s="325">
        <v>165.745</v>
      </c>
      <c r="GW22" s="325">
        <v>157.691</v>
      </c>
      <c r="GX22" s="325">
        <v>169.24799999999999</v>
      </c>
      <c r="GY22" s="402">
        <f>SUM(GM22:GX22)</f>
        <v>1737.6029999999998</v>
      </c>
      <c r="GZ22" s="325">
        <v>174.45599999999999</v>
      </c>
      <c r="HA22" s="325">
        <v>188.66300000000001</v>
      </c>
      <c r="HB22" s="325">
        <v>182.34800000000001</v>
      </c>
      <c r="HC22" s="325">
        <v>169.05699999999999</v>
      </c>
      <c r="HD22" s="325">
        <v>146.31</v>
      </c>
      <c r="HE22" s="325">
        <v>166.21100000000001</v>
      </c>
      <c r="HF22" s="325">
        <v>172.27799999999999</v>
      </c>
      <c r="HG22" s="325">
        <v>134.85</v>
      </c>
      <c r="HH22" s="325">
        <v>166.49299999999999</v>
      </c>
      <c r="HI22" s="325">
        <v>165.37</v>
      </c>
      <c r="HJ22" s="325">
        <v>147.84200000000001</v>
      </c>
      <c r="HK22" s="325">
        <v>135.64699999999999</v>
      </c>
      <c r="HL22" s="402">
        <f>SUM(GZ22:HK22)</f>
        <v>1949.5250000000001</v>
      </c>
      <c r="HM22" s="325">
        <v>118.955</v>
      </c>
      <c r="HN22" s="325">
        <v>113.101</v>
      </c>
      <c r="HO22" s="325">
        <v>123.83199999999999</v>
      </c>
      <c r="HP22" s="325">
        <v>127.16200000000001</v>
      </c>
      <c r="HQ22" s="294">
        <v>107.07299999999999</v>
      </c>
      <c r="HR22" s="441">
        <v>123.628</v>
      </c>
      <c r="HS22" s="447">
        <v>124.85299999999999</v>
      </c>
      <c r="HT22" s="452">
        <v>97.536000000000001</v>
      </c>
      <c r="HU22" s="452">
        <v>109.17100000000001</v>
      </c>
      <c r="HV22" s="452">
        <v>99.518000000000001</v>
      </c>
      <c r="HW22" s="452">
        <v>108.76600000000001</v>
      </c>
      <c r="HX22" s="452">
        <v>110.756</v>
      </c>
      <c r="HY22" s="481">
        <f>SUM(HM22:HX22)</f>
        <v>1364.3510000000001</v>
      </c>
      <c r="HZ22" s="467">
        <v>105390</v>
      </c>
      <c r="IA22" s="467">
        <v>105573</v>
      </c>
      <c r="IB22" s="467">
        <v>95765</v>
      </c>
      <c r="IC22" s="467">
        <v>94615</v>
      </c>
      <c r="ID22" s="467">
        <v>80818</v>
      </c>
      <c r="IE22" s="467">
        <v>100155</v>
      </c>
      <c r="IF22" s="467">
        <v>94798</v>
      </c>
      <c r="IG22" s="467">
        <v>72658</v>
      </c>
      <c r="IH22" s="467">
        <v>86740</v>
      </c>
      <c r="II22" s="467">
        <v>92740</v>
      </c>
      <c r="IJ22" s="467">
        <v>99347</v>
      </c>
      <c r="IK22" s="467">
        <v>103956</v>
      </c>
      <c r="IL22" s="468">
        <f>SUM(HZ22:IK22)</f>
        <v>1132555</v>
      </c>
      <c r="IM22" s="467">
        <v>104972</v>
      </c>
      <c r="IN22" s="467">
        <v>122160</v>
      </c>
      <c r="IO22" s="467">
        <v>138023</v>
      </c>
      <c r="IP22" s="467">
        <v>124017</v>
      </c>
      <c r="IQ22" s="467">
        <v>100227</v>
      </c>
      <c r="IR22" s="467">
        <v>111744</v>
      </c>
      <c r="IS22" s="467">
        <v>104047</v>
      </c>
      <c r="IT22" s="467">
        <v>90580</v>
      </c>
      <c r="IU22" s="467">
        <v>101003</v>
      </c>
      <c r="IV22" s="467">
        <v>131204</v>
      </c>
      <c r="IW22" s="467">
        <v>140769</v>
      </c>
      <c r="IX22" s="467">
        <v>142113</v>
      </c>
      <c r="IY22" s="468">
        <f>SUM(IM22:IX22)</f>
        <v>1410859</v>
      </c>
      <c r="IZ22" s="467">
        <v>124428</v>
      </c>
      <c r="JA22" s="467">
        <v>131691</v>
      </c>
      <c r="JB22" s="467">
        <v>126295</v>
      </c>
      <c r="JC22" s="467">
        <v>115013</v>
      </c>
      <c r="JD22" s="467">
        <v>106648</v>
      </c>
      <c r="JE22" s="467">
        <v>131674</v>
      </c>
      <c r="JF22" s="520">
        <v>137</v>
      </c>
      <c r="JG22" s="484">
        <v>119519</v>
      </c>
      <c r="JH22" s="484">
        <v>139450</v>
      </c>
      <c r="JI22" s="484">
        <v>156703</v>
      </c>
      <c r="JJ22" s="484">
        <v>147902</v>
      </c>
      <c r="JK22" s="484">
        <v>127257</v>
      </c>
      <c r="JL22" s="529">
        <v>1564</v>
      </c>
      <c r="JM22" s="467">
        <v>102240.88</v>
      </c>
      <c r="JN22" s="573">
        <v>108</v>
      </c>
    </row>
    <row r="23" spans="1:274" ht="14.25" thickBot="1" x14ac:dyDescent="0.2">
      <c r="A23" s="555"/>
      <c r="B23" s="36" t="s">
        <v>77</v>
      </c>
      <c r="C23" s="30"/>
      <c r="D23" s="31">
        <f t="shared" ref="D23:M23" si="150">(D22/C22-1)*100</f>
        <v>24.233128834355821</v>
      </c>
      <c r="E23" s="32">
        <f t="shared" si="150"/>
        <v>0.32921810699588772</v>
      </c>
      <c r="F23" s="31">
        <f t="shared" si="150"/>
        <v>-12.879409351927807</v>
      </c>
      <c r="G23" s="32">
        <f t="shared" si="150"/>
        <v>-6.4971751412429395</v>
      </c>
      <c r="H23" s="31">
        <f t="shared" si="150"/>
        <v>-0.20140986908357972</v>
      </c>
      <c r="I23" s="32">
        <f t="shared" si="150"/>
        <v>11.099899091826448</v>
      </c>
      <c r="J23" s="31">
        <f t="shared" si="150"/>
        <v>5.5404178019981876</v>
      </c>
      <c r="K23" s="32">
        <f t="shared" si="150"/>
        <v>13.941480206540447</v>
      </c>
      <c r="L23" s="31">
        <f t="shared" si="150"/>
        <v>-22.507552870090631</v>
      </c>
      <c r="M23" s="32">
        <f t="shared" si="150"/>
        <v>-0.29239766081871066</v>
      </c>
      <c r="N23" s="32">
        <f>(N22/M22-1)*100</f>
        <v>18.279569892473123</v>
      </c>
      <c r="O23" s="33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2">
        <f t="shared" ref="AA23:AL23" si="151">(AA22/O22-1)*100</f>
        <v>15.789473684210531</v>
      </c>
      <c r="AB23" s="32">
        <f t="shared" si="151"/>
        <v>-10.185185185185187</v>
      </c>
      <c r="AC23" s="32">
        <f t="shared" si="151"/>
        <v>35.365853658536594</v>
      </c>
      <c r="AD23" s="32">
        <f t="shared" si="151"/>
        <v>38.666666666666671</v>
      </c>
      <c r="AE23" s="32">
        <f t="shared" si="151"/>
        <v>37.681159420289845</v>
      </c>
      <c r="AF23" s="32">
        <f t="shared" si="151"/>
        <v>23.750000000000004</v>
      </c>
      <c r="AG23" s="32">
        <f t="shared" si="151"/>
        <v>25.974025974025984</v>
      </c>
      <c r="AH23" s="32">
        <f t="shared" si="151"/>
        <v>34.328358208955237</v>
      </c>
      <c r="AI23" s="32">
        <f t="shared" si="151"/>
        <v>17.241379310344819</v>
      </c>
      <c r="AJ23" s="32">
        <f t="shared" si="151"/>
        <v>7.9207920792079278</v>
      </c>
      <c r="AK23" s="32">
        <f t="shared" si="151"/>
        <v>8.0808080808080884</v>
      </c>
      <c r="AL23" s="89">
        <f t="shared" si="151"/>
        <v>8.8235294117646959</v>
      </c>
      <c r="AM23" s="32">
        <f>(AM22/N22-1)*100</f>
        <v>3.2231404958677601</v>
      </c>
      <c r="AN23" s="114">
        <f t="shared" ref="AN23:AY23" si="152">(AN22/AA22-1)*100</f>
        <v>11.363636363636353</v>
      </c>
      <c r="AO23" s="32">
        <f t="shared" si="152"/>
        <v>13.4020618556701</v>
      </c>
      <c r="AP23" s="89">
        <f t="shared" si="152"/>
        <v>1.8018018018018056</v>
      </c>
      <c r="AQ23" s="32">
        <f t="shared" si="152"/>
        <v>8.6538461538461462</v>
      </c>
      <c r="AR23" s="32">
        <f t="shared" si="152"/>
        <v>-2.1052631578947323</v>
      </c>
      <c r="AS23" s="31">
        <f t="shared" si="152"/>
        <v>5.0505050505050608</v>
      </c>
      <c r="AT23" s="32">
        <f t="shared" si="152"/>
        <v>36.082474226804131</v>
      </c>
      <c r="AU23" s="31">
        <f t="shared" si="152"/>
        <v>-2.2222222222222254</v>
      </c>
      <c r="AV23" s="32">
        <f t="shared" si="152"/>
        <v>-0.98039215686274161</v>
      </c>
      <c r="AW23" s="31">
        <f t="shared" si="152"/>
        <v>-0.91743119266054496</v>
      </c>
      <c r="AX23" s="32">
        <f t="shared" si="152"/>
        <v>-9.3457943925233664</v>
      </c>
      <c r="AY23" s="31">
        <f t="shared" si="152"/>
        <v>-17.117117117117118</v>
      </c>
      <c r="AZ23" s="107">
        <f t="shared" ref="AZ23:BL23" si="153">(AZ22/AM22-1)*100</f>
        <v>-2.562049639711772</v>
      </c>
      <c r="BA23" s="124">
        <f t="shared" si="153"/>
        <v>-15.306122448979586</v>
      </c>
      <c r="BB23" s="32">
        <f t="shared" si="153"/>
        <v>-16.36363636363637</v>
      </c>
      <c r="BC23" s="32">
        <f t="shared" si="153"/>
        <v>-13.274336283185839</v>
      </c>
      <c r="BD23" s="32">
        <f t="shared" si="153"/>
        <v>-17.699115044247794</v>
      </c>
      <c r="BE23" s="32">
        <f t="shared" si="153"/>
        <v>-6.4516129032258114</v>
      </c>
      <c r="BF23" s="32">
        <f t="shared" si="153"/>
        <v>-2.8846153846153855</v>
      </c>
      <c r="BG23" s="32">
        <f t="shared" si="153"/>
        <v>-18.181818181818176</v>
      </c>
      <c r="BH23" s="32">
        <f t="shared" si="153"/>
        <v>1.1363636363636465</v>
      </c>
      <c r="BI23" s="32">
        <f t="shared" si="153"/>
        <v>14.851485148514843</v>
      </c>
      <c r="BJ23" s="32">
        <f t="shared" si="153"/>
        <v>3.7037037037036979</v>
      </c>
      <c r="BK23" s="32">
        <f t="shared" si="153"/>
        <v>21.649484536082465</v>
      </c>
      <c r="BL23" s="32">
        <f t="shared" si="153"/>
        <v>30.434782608695656</v>
      </c>
      <c r="BM23" s="32">
        <f t="shared" ref="BM23:BX23" si="154">(BM22/BA22-1)*100</f>
        <v>31.325301204819269</v>
      </c>
      <c r="BN23" s="32">
        <f t="shared" si="154"/>
        <v>39.130434782608688</v>
      </c>
      <c r="BO23" s="32">
        <f t="shared" si="154"/>
        <v>27.551020408163261</v>
      </c>
      <c r="BP23" s="32">
        <f t="shared" si="154"/>
        <v>23.655913978494624</v>
      </c>
      <c r="BQ23" s="32">
        <f t="shared" si="154"/>
        <v>22.988505747126432</v>
      </c>
      <c r="BR23" s="32">
        <f t="shared" si="154"/>
        <v>6.9306930693069368</v>
      </c>
      <c r="BS23" s="32">
        <f t="shared" si="154"/>
        <v>-4.629629629629628</v>
      </c>
      <c r="BT23" s="32">
        <f t="shared" si="154"/>
        <v>8.9887640449438209</v>
      </c>
      <c r="BU23" s="32">
        <f t="shared" si="154"/>
        <v>1.7241379310344751</v>
      </c>
      <c r="BV23" s="32">
        <f t="shared" si="154"/>
        <v>8.0357142857142794</v>
      </c>
      <c r="BW23" s="32">
        <f t="shared" si="154"/>
        <v>0.84745762711864181</v>
      </c>
      <c r="BX23" s="32">
        <f t="shared" si="154"/>
        <v>-1.6666666666666718</v>
      </c>
      <c r="BY23" s="106">
        <f>(BY22/AZ22-1)*100</f>
        <v>12.407559572719794</v>
      </c>
      <c r="BZ23" s="116">
        <f t="shared" ref="BZ23:DE23" si="155">(BZ22/BM22-1)*100</f>
        <v>-2.752293577981646</v>
      </c>
      <c r="CA23" s="18">
        <f t="shared" si="155"/>
        <v>0</v>
      </c>
      <c r="CB23" s="18">
        <f t="shared" si="155"/>
        <v>4.8000000000000043</v>
      </c>
      <c r="CC23" s="18">
        <f t="shared" si="155"/>
        <v>9.565217391304337</v>
      </c>
      <c r="CD23" s="32">
        <f t="shared" si="155"/>
        <v>-3.7383177570093462</v>
      </c>
      <c r="CE23" s="89">
        <f t="shared" si="155"/>
        <v>14.814814814814813</v>
      </c>
      <c r="CF23" s="89">
        <f t="shared" si="155"/>
        <v>27.184466019417485</v>
      </c>
      <c r="CG23" s="89">
        <f t="shared" si="155"/>
        <v>17.525773195876294</v>
      </c>
      <c r="CH23" s="89">
        <f t="shared" si="155"/>
        <v>11.016949152542367</v>
      </c>
      <c r="CI23" s="89">
        <f t="shared" si="155"/>
        <v>14.049586776859503</v>
      </c>
      <c r="CJ23" s="108">
        <f t="shared" si="155"/>
        <v>26.050420168067223</v>
      </c>
      <c r="CK23" s="307">
        <f t="shared" si="155"/>
        <v>27.118644067796605</v>
      </c>
      <c r="CL23" s="308">
        <f t="shared" si="155"/>
        <v>11.988304093567258</v>
      </c>
      <c r="CM23" s="287">
        <f t="shared" si="155"/>
        <v>26.415094339622634</v>
      </c>
      <c r="CN23" s="288">
        <f t="shared" si="155"/>
        <v>16.40625</v>
      </c>
      <c r="CO23" s="288">
        <f t="shared" si="155"/>
        <v>11.45038167938932</v>
      </c>
      <c r="CP23" s="326">
        <f t="shared" si="155"/>
        <v>14.285714285714279</v>
      </c>
      <c r="CQ23" s="333">
        <f t="shared" si="155"/>
        <v>17.475728155339798</v>
      </c>
      <c r="CR23" s="333">
        <f t="shared" si="155"/>
        <v>20.161290322580648</v>
      </c>
      <c r="CS23" s="333">
        <f t="shared" si="155"/>
        <v>9.92366412213741</v>
      </c>
      <c r="CT23" s="333">
        <f t="shared" si="155"/>
        <v>14.912280701754387</v>
      </c>
      <c r="CU23" s="333">
        <f t="shared" si="155"/>
        <v>14.503816793893121</v>
      </c>
      <c r="CV23" s="333">
        <f t="shared" si="155"/>
        <v>8.6956521739130377</v>
      </c>
      <c r="CW23" s="326">
        <f t="shared" si="155"/>
        <v>9.3333333333333268</v>
      </c>
      <c r="CX23" s="316">
        <f t="shared" si="155"/>
        <v>13.999999999999989</v>
      </c>
      <c r="CY23" s="308">
        <f t="shared" si="155"/>
        <v>14.425587467362933</v>
      </c>
      <c r="CZ23" s="326">
        <f t="shared" si="155"/>
        <v>20.895522388059696</v>
      </c>
      <c r="DA23" s="326">
        <f t="shared" si="155"/>
        <v>24.832214765100669</v>
      </c>
      <c r="DB23" s="326">
        <f t="shared" si="155"/>
        <v>27.397260273972602</v>
      </c>
      <c r="DC23" s="326">
        <f t="shared" si="155"/>
        <v>34.027777777777771</v>
      </c>
      <c r="DD23" s="326">
        <f t="shared" si="155"/>
        <v>22.314049586776854</v>
      </c>
      <c r="DE23" s="326">
        <f t="shared" si="155"/>
        <v>26.845637583892625</v>
      </c>
      <c r="DF23" s="326">
        <f>(DF22/CS22-1)*100</f>
        <v>7.638888888888884</v>
      </c>
      <c r="DG23" s="326">
        <f>(DG22/CT22-1)*100</f>
        <v>12.213740458015266</v>
      </c>
      <c r="DH23" s="326">
        <f>(DH22/CT22-1)*100</f>
        <v>22.900763358778619</v>
      </c>
      <c r="DI23" s="326">
        <f>(DI22/CU22-1)*100</f>
        <v>28.666666666666664</v>
      </c>
      <c r="DJ23" s="326">
        <f>(DJ22/CV22-1)*100</f>
        <v>24</v>
      </c>
      <c r="DK23" s="326">
        <f>(DK22/CW22-1)*100</f>
        <v>6.7073170731707377</v>
      </c>
      <c r="DL23" s="308">
        <f t="shared" ref="DL23:EL23" si="156">(DL22/CY22-1)*100</f>
        <v>18.710781517398758</v>
      </c>
      <c r="DM23" s="326">
        <f t="shared" si="156"/>
        <v>-3.0864197530864224</v>
      </c>
      <c r="DN23" s="326">
        <f t="shared" si="156"/>
        <v>2.1505376344086002</v>
      </c>
      <c r="DO23" s="326">
        <f t="shared" si="156"/>
        <v>4.8387096774193505</v>
      </c>
      <c r="DP23" s="326">
        <f t="shared" si="156"/>
        <v>-4.6632124352331665</v>
      </c>
      <c r="DQ23" s="326">
        <f t="shared" si="156"/>
        <v>19.594594594594604</v>
      </c>
      <c r="DR23" s="326">
        <f t="shared" si="156"/>
        <v>3.1746031746031855</v>
      </c>
      <c r="DS23" s="326">
        <f t="shared" si="156"/>
        <v>32.258064516129025</v>
      </c>
      <c r="DT23" s="326">
        <f t="shared" si="156"/>
        <v>22.448979591836739</v>
      </c>
      <c r="DU23" s="326">
        <f t="shared" si="156"/>
        <v>32.9192546583851</v>
      </c>
      <c r="DV23" s="326">
        <f t="shared" si="156"/>
        <v>20.725388601036276</v>
      </c>
      <c r="DW23" s="326">
        <f t="shared" si="156"/>
        <v>22.580645161290324</v>
      </c>
      <c r="DX23" s="288">
        <f t="shared" si="156"/>
        <v>39.428571428571438</v>
      </c>
      <c r="DY23" s="399">
        <f t="shared" si="156"/>
        <v>15.425276309466597</v>
      </c>
      <c r="DZ23" s="326">
        <f t="shared" si="156"/>
        <v>36.305732484076422</v>
      </c>
      <c r="EA23" s="326">
        <f t="shared" si="156"/>
        <v>26.84210526315789</v>
      </c>
      <c r="EB23" s="326">
        <f t="shared" si="156"/>
        <v>22.564102564102573</v>
      </c>
      <c r="EC23" s="326">
        <f t="shared" si="156"/>
        <v>22.826086956521728</v>
      </c>
      <c r="ED23" s="326">
        <f t="shared" si="156"/>
        <v>9.0395480225988756</v>
      </c>
      <c r="EE23" s="326">
        <f t="shared" si="156"/>
        <v>18.461538461538463</v>
      </c>
      <c r="EF23" s="326">
        <f t="shared" si="156"/>
        <v>21.95121951219512</v>
      </c>
      <c r="EG23" s="326">
        <f t="shared" si="156"/>
        <v>17.777777777777782</v>
      </c>
      <c r="EH23" s="326">
        <f t="shared" si="156"/>
        <v>20.09345794392523</v>
      </c>
      <c r="EI23" s="326">
        <f t="shared" si="156"/>
        <v>1.2875536480686733</v>
      </c>
      <c r="EJ23" s="326">
        <f t="shared" si="156"/>
        <v>-10.964912280701755</v>
      </c>
      <c r="EK23" s="326">
        <f t="shared" si="156"/>
        <v>-50.819672131147541</v>
      </c>
      <c r="EL23" s="399">
        <f t="shared" si="156"/>
        <v>9.1590341382181464</v>
      </c>
      <c r="EM23" s="326">
        <f t="shared" ref="EM23:EX23" si="157">(EM22/DZ22-1)*100</f>
        <v>-66.822429906542055</v>
      </c>
      <c r="EN23" s="326">
        <f t="shared" si="157"/>
        <v>-71.369294605809131</v>
      </c>
      <c r="EO23" s="326">
        <f t="shared" si="157"/>
        <v>-69.037656903765694</v>
      </c>
      <c r="EP23" s="326">
        <f t="shared" si="157"/>
        <v>-65.499557522123879</v>
      </c>
      <c r="EQ23" s="326">
        <f t="shared" si="157"/>
        <v>-65.987046632124361</v>
      </c>
      <c r="ER23" s="326">
        <f t="shared" si="157"/>
        <v>-65.88398268398268</v>
      </c>
      <c r="ES23" s="326">
        <f t="shared" si="157"/>
        <v>-65.900400000000005</v>
      </c>
      <c r="ET23" s="326">
        <f t="shared" si="157"/>
        <v>-61.320754716981128</v>
      </c>
      <c r="EU23" s="326">
        <f t="shared" si="157"/>
        <v>-60.066926070038917</v>
      </c>
      <c r="EV23" s="326">
        <f t="shared" si="157"/>
        <v>-51.723728813559319</v>
      </c>
      <c r="EW23" s="326">
        <f t="shared" si="157"/>
        <v>-42.823645320197045</v>
      </c>
      <c r="EX23" s="326">
        <f t="shared" si="157"/>
        <v>4.0583333333333416</v>
      </c>
      <c r="EY23" s="399">
        <f t="shared" ref="EY23:FX23" si="158">(EY22/EL22-1)*100</f>
        <v>-59.528184591914567</v>
      </c>
      <c r="EZ23" s="326">
        <f t="shared" si="158"/>
        <v>77.747887323943644</v>
      </c>
      <c r="FA23" s="326">
        <f t="shared" si="158"/>
        <v>113.63623188405798</v>
      </c>
      <c r="FB23" s="326">
        <f t="shared" si="158"/>
        <v>100.80945945945943</v>
      </c>
      <c r="FC23" s="326">
        <f t="shared" si="158"/>
        <v>72.261481832989176</v>
      </c>
      <c r="FD23" s="326">
        <f t="shared" si="158"/>
        <v>82.338334983624037</v>
      </c>
      <c r="FE23" s="326">
        <f t="shared" si="158"/>
        <v>72.113237234798504</v>
      </c>
      <c r="FF23" s="326">
        <f t="shared" si="158"/>
        <v>49.71202008234701</v>
      </c>
      <c r="FG23" s="326">
        <f t="shared" si="158"/>
        <v>19.643902439024387</v>
      </c>
      <c r="FH23" s="326">
        <f t="shared" si="158"/>
        <v>-6.6892076236504616</v>
      </c>
      <c r="FI23" s="326">
        <f t="shared" si="158"/>
        <v>-14.764069796018674</v>
      </c>
      <c r="FJ23" s="326">
        <f t="shared" si="158"/>
        <v>-9.3048902367577568</v>
      </c>
      <c r="FK23" s="326">
        <f t="shared" si="158"/>
        <v>-10.954592776487548</v>
      </c>
      <c r="FL23" s="399">
        <f t="shared" si="158"/>
        <v>36.35191689181103</v>
      </c>
      <c r="FM23" s="326">
        <f t="shared" si="158"/>
        <v>-10.832719233603527</v>
      </c>
      <c r="FN23" s="326">
        <f t="shared" si="158"/>
        <v>-11.322239483342267</v>
      </c>
      <c r="FO23" s="326">
        <f t="shared" si="158"/>
        <v>-20.523691276522715</v>
      </c>
      <c r="FP23" s="326">
        <f t="shared" si="158"/>
        <v>-15.918668195422658</v>
      </c>
      <c r="FQ23" s="326">
        <f t="shared" si="158"/>
        <v>-15.522657398743478</v>
      </c>
      <c r="FR23" s="326">
        <f t="shared" si="158"/>
        <v>-5.8360795936272076</v>
      </c>
      <c r="FS23" s="326">
        <f t="shared" si="158"/>
        <v>-4.6384805841978238</v>
      </c>
      <c r="FT23" s="326">
        <f t="shared" si="158"/>
        <v>10.364088555469465</v>
      </c>
      <c r="FU23" s="326">
        <f t="shared" si="158"/>
        <v>24.117874335599332</v>
      </c>
      <c r="FV23" s="326">
        <f t="shared" si="158"/>
        <v>20.090412002759717</v>
      </c>
      <c r="FW23" s="326">
        <f t="shared" si="158"/>
        <v>7.1769198616863594</v>
      </c>
      <c r="FX23" s="326">
        <f t="shared" si="158"/>
        <v>-4.9194629061704571</v>
      </c>
      <c r="FY23" s="399">
        <f t="shared" ref="FY23:HY23" si="159">(FY22/FL22-1)*100</f>
        <v>-4.1326894860625352</v>
      </c>
      <c r="FZ23" s="326">
        <f t="shared" si="159"/>
        <v>-9.8747000799786715</v>
      </c>
      <c r="GA23" s="326">
        <f t="shared" si="159"/>
        <v>-7.9475822183462164</v>
      </c>
      <c r="GB23" s="326">
        <f t="shared" si="159"/>
        <v>15.706894945851445</v>
      </c>
      <c r="GC23" s="326">
        <f t="shared" si="159"/>
        <v>29.929250086334381</v>
      </c>
      <c r="GD23" s="326">
        <f t="shared" si="159"/>
        <v>13.591320859211198</v>
      </c>
      <c r="GE23" s="326">
        <f t="shared" si="159"/>
        <v>-5.8759972753536953</v>
      </c>
      <c r="GF23" s="326">
        <f t="shared" si="159"/>
        <v>-11.069937884116076</v>
      </c>
      <c r="GG23" s="326">
        <f t="shared" si="159"/>
        <v>-30.346521851564511</v>
      </c>
      <c r="GH23" s="326">
        <f t="shared" si="159"/>
        <v>-17.157304032509114</v>
      </c>
      <c r="GI23" s="326">
        <f t="shared" si="159"/>
        <v>-5.0111043465585041</v>
      </c>
      <c r="GJ23" s="326">
        <f t="shared" si="159"/>
        <v>-6.2815206119319562</v>
      </c>
      <c r="GK23" s="326">
        <f t="shared" si="159"/>
        <v>-0.19012305975161237</v>
      </c>
      <c r="GL23" s="399">
        <f t="shared" si="159"/>
        <v>-3.0832726564921864</v>
      </c>
      <c r="GM23" s="326">
        <f t="shared" si="159"/>
        <v>10.840284762073793</v>
      </c>
      <c r="GN23" s="326">
        <f t="shared" si="159"/>
        <v>12.522230532701739</v>
      </c>
      <c r="GO23" s="326">
        <f t="shared" si="159"/>
        <v>3.7621385866184687</v>
      </c>
      <c r="GP23" s="326">
        <f t="shared" si="159"/>
        <v>0.133575950876752</v>
      </c>
      <c r="GQ23" s="326">
        <f t="shared" si="159"/>
        <v>12.831384567164971</v>
      </c>
      <c r="GR23" s="326">
        <f t="shared" si="159"/>
        <v>21.212297659252343</v>
      </c>
      <c r="GS23" s="326">
        <f t="shared" si="159"/>
        <v>38.556843904467144</v>
      </c>
      <c r="GT23" s="326">
        <f t="shared" si="159"/>
        <v>65.22978599273381</v>
      </c>
      <c r="GU23" s="326">
        <f t="shared" si="159"/>
        <v>60.961143948164853</v>
      </c>
      <c r="GV23" s="326">
        <f t="shared" si="159"/>
        <v>49.620408568565686</v>
      </c>
      <c r="GW23" s="326">
        <f t="shared" si="159"/>
        <v>49.1365287130211</v>
      </c>
      <c r="GX23" s="326">
        <f t="shared" si="159"/>
        <v>60.394238059135709</v>
      </c>
      <c r="GY23" s="399">
        <f t="shared" si="159"/>
        <v>29.251220468311679</v>
      </c>
      <c r="GZ23" s="326">
        <f t="shared" si="159"/>
        <v>55.193395722876538</v>
      </c>
      <c r="HA23" s="326">
        <f t="shared" si="159"/>
        <v>39.339576655489751</v>
      </c>
      <c r="HB23" s="326">
        <f t="shared" si="159"/>
        <v>28.602459941322511</v>
      </c>
      <c r="HC23" s="326">
        <f t="shared" si="159"/>
        <v>15.060335263971014</v>
      </c>
      <c r="HD23" s="326">
        <f t="shared" si="159"/>
        <v>12.896131854904036</v>
      </c>
      <c r="HE23" s="326">
        <f t="shared" si="159"/>
        <v>14.06268228576919</v>
      </c>
      <c r="HF23" s="326">
        <f t="shared" si="159"/>
        <v>14.877273000059986</v>
      </c>
      <c r="HG23" s="326">
        <f t="shared" si="159"/>
        <v>8.2150337444728763</v>
      </c>
      <c r="HH23" s="326">
        <f t="shared" si="159"/>
        <v>5.0482043257704001</v>
      </c>
      <c r="HI23" s="326">
        <f t="shared" si="159"/>
        <v>-0.22625116896437536</v>
      </c>
      <c r="HJ23" s="326">
        <f t="shared" si="159"/>
        <v>-6.2457591111731103</v>
      </c>
      <c r="HK23" s="326">
        <f t="shared" si="159"/>
        <v>-19.853114955568163</v>
      </c>
      <c r="HL23" s="399">
        <f t="shared" si="159"/>
        <v>12.1962266409531</v>
      </c>
      <c r="HM23" s="326">
        <f t="shared" si="159"/>
        <v>-31.813752464804878</v>
      </c>
      <c r="HN23" s="326">
        <f t="shared" si="159"/>
        <v>-40.051308417654766</v>
      </c>
      <c r="HO23" s="326">
        <f t="shared" si="159"/>
        <v>-32.090288898150796</v>
      </c>
      <c r="HP23" s="326">
        <f t="shared" si="159"/>
        <v>-24.781582543165904</v>
      </c>
      <c r="HQ23" s="288">
        <f t="shared" si="159"/>
        <v>-26.817715808898924</v>
      </c>
      <c r="HR23" s="442">
        <f t="shared" si="159"/>
        <v>-25.619844655287562</v>
      </c>
      <c r="HS23" s="448">
        <f t="shared" si="159"/>
        <v>-27.528181195509582</v>
      </c>
      <c r="HT23" s="448">
        <f t="shared" si="159"/>
        <v>-27.670745272525021</v>
      </c>
      <c r="HU23" s="448">
        <f t="shared" si="159"/>
        <v>-34.429075096250287</v>
      </c>
      <c r="HV23" s="448">
        <f t="shared" si="159"/>
        <v>-39.821007437866605</v>
      </c>
      <c r="HW23" s="448">
        <f t="shared" si="159"/>
        <v>-26.430919495136706</v>
      </c>
      <c r="HX23" s="448">
        <f t="shared" si="159"/>
        <v>-18.349834496892669</v>
      </c>
      <c r="HY23" s="478">
        <f t="shared" si="159"/>
        <v>-30.016234723842985</v>
      </c>
      <c r="HZ23" s="448">
        <f>(105/119-1)*100</f>
        <v>-11.764705882352944</v>
      </c>
      <c r="IA23" s="448">
        <f>(106/113-1)*100</f>
        <v>-6.1946902654867237</v>
      </c>
      <c r="IB23" s="448">
        <f>(96/HO22-1)*100</f>
        <v>-22.475612119645973</v>
      </c>
      <c r="IC23" s="448">
        <f>(95/HP22-1)*100</f>
        <v>-25.292147025054657</v>
      </c>
      <c r="ID23" s="448">
        <f>(81/HQ22-1)*100</f>
        <v>-24.350676641170033</v>
      </c>
      <c r="IE23" s="448">
        <f>(100/HR22-1)*100</f>
        <v>-19.112175235383567</v>
      </c>
      <c r="IF23" s="448">
        <f>(95/HS22-1)*100</f>
        <v>-23.910518770073608</v>
      </c>
      <c r="IG23" s="448">
        <f>(73/HT22-1)*100</f>
        <v>-25.15583989501312</v>
      </c>
      <c r="IH23" s="448">
        <f>(87/HU22-1)*100</f>
        <v>-20.308506837896513</v>
      </c>
      <c r="II23" s="448">
        <f>(93/HV22-1)*100</f>
        <v>-6.5495689222050295</v>
      </c>
      <c r="IJ23" s="448">
        <f>(99/HW22-1)*100</f>
        <v>-8.9789088501921572</v>
      </c>
      <c r="IK23" s="448">
        <f>(104/HX22-1)*100</f>
        <v>-6.0998952652677962</v>
      </c>
      <c r="IL23" s="482">
        <f>(1133/HY22-1)*100</f>
        <v>-16.956853478320465</v>
      </c>
      <c r="IM23" s="448">
        <f>(IM22/HZ22-1)*100</f>
        <v>-0.39662207040516151</v>
      </c>
      <c r="IN23" s="507">
        <f t="shared" ref="IN23:IX23" si="160">(IN22/IA22-1)*100</f>
        <v>15.711403483845299</v>
      </c>
      <c r="IO23" s="507">
        <f t="shared" si="160"/>
        <v>44.126768652430435</v>
      </c>
      <c r="IP23" s="507">
        <f t="shared" si="160"/>
        <v>31.075410875653976</v>
      </c>
      <c r="IQ23" s="507">
        <f t="shared" si="160"/>
        <v>24.015689574104783</v>
      </c>
      <c r="IR23" s="507">
        <f t="shared" si="160"/>
        <v>11.571064849483292</v>
      </c>
      <c r="IS23" s="507">
        <f t="shared" si="160"/>
        <v>9.7565349479946875</v>
      </c>
      <c r="IT23" s="507">
        <f t="shared" si="160"/>
        <v>24.666244597979571</v>
      </c>
      <c r="IU23" s="507">
        <f t="shared" si="160"/>
        <v>16.443394051187465</v>
      </c>
      <c r="IV23" s="507">
        <f t="shared" si="160"/>
        <v>41.475091654086697</v>
      </c>
      <c r="IW23" s="507">
        <f t="shared" si="160"/>
        <v>41.694263540922229</v>
      </c>
      <c r="IX23" s="507">
        <f t="shared" si="160"/>
        <v>36.704952095117171</v>
      </c>
      <c r="IY23" s="482">
        <f>(IY22/IL22-1)*100</f>
        <v>24.573111239630752</v>
      </c>
      <c r="IZ23" s="507">
        <f>(IZ22/IM22-1)*100</f>
        <v>18.534466333879518</v>
      </c>
      <c r="JA23" s="507">
        <f t="shared" ref="JA23:JE23" si="161">(JA22/IN22-1)*100</f>
        <v>7.8020628683693527</v>
      </c>
      <c r="JB23" s="507">
        <f t="shared" si="161"/>
        <v>-8.4971345355484225</v>
      </c>
      <c r="JC23" s="507">
        <f t="shared" si="161"/>
        <v>-7.260294959561997</v>
      </c>
      <c r="JD23" s="507">
        <f t="shared" si="161"/>
        <v>6.4064573418340265</v>
      </c>
      <c r="JE23" s="507">
        <f t="shared" si="161"/>
        <v>17.835409507445597</v>
      </c>
      <c r="JF23" s="507">
        <f>(JF22/104-1)*100</f>
        <v>31.73076923076923</v>
      </c>
      <c r="JG23" s="507">
        <f>(JG22/IT22-1)*100</f>
        <v>31.948553764627952</v>
      </c>
      <c r="JH23" s="507">
        <f t="shared" ref="JH23:JK23" si="162">(JH22/IU22-1)*100</f>
        <v>38.065205983980668</v>
      </c>
      <c r="JI23" s="507">
        <f t="shared" si="162"/>
        <v>19.434620895704402</v>
      </c>
      <c r="JJ23" s="507">
        <f t="shared" si="162"/>
        <v>5.0671667767761441</v>
      </c>
      <c r="JK23" s="507">
        <f t="shared" si="162"/>
        <v>-10.453653078887925</v>
      </c>
      <c r="JL23" s="532">
        <f>(JL22/1411-1)*100</f>
        <v>10.843373493975905</v>
      </c>
      <c r="JM23" s="507">
        <f t="shared" si="29"/>
        <v>-17.831291992156107</v>
      </c>
      <c r="JN23" s="574">
        <f>(JN22/132-1)*100</f>
        <v>-18.181818181818176</v>
      </c>
    </row>
    <row r="24" spans="1:274" x14ac:dyDescent="0.15">
      <c r="A24" s="556" t="s">
        <v>126</v>
      </c>
      <c r="B24" s="24" t="s">
        <v>129</v>
      </c>
      <c r="C24" s="59">
        <v>456721</v>
      </c>
      <c r="D24" s="25">
        <v>472370</v>
      </c>
      <c r="E24" s="26">
        <v>458744</v>
      </c>
      <c r="F24" s="25">
        <v>436242</v>
      </c>
      <c r="G24" s="26">
        <v>423789</v>
      </c>
      <c r="H24" s="25">
        <v>431691</v>
      </c>
      <c r="I24" s="26">
        <v>445208</v>
      </c>
      <c r="J24" s="25">
        <v>451613</v>
      </c>
      <c r="K24" s="26">
        <v>445258</v>
      </c>
      <c r="L24" s="25">
        <v>409723</v>
      </c>
      <c r="M24" s="128">
        <v>407195</v>
      </c>
      <c r="N24" s="25">
        <f>SUM(AA24:AL24)</f>
        <v>434336</v>
      </c>
      <c r="O24" s="26">
        <v>32842</v>
      </c>
      <c r="P24" s="25">
        <v>35140</v>
      </c>
      <c r="Q24" s="25">
        <v>36492</v>
      </c>
      <c r="R24" s="25">
        <v>35279</v>
      </c>
      <c r="S24" s="25">
        <v>31165</v>
      </c>
      <c r="T24" s="25">
        <v>35478</v>
      </c>
      <c r="U24" s="25">
        <v>36207</v>
      </c>
      <c r="V24" s="25">
        <v>32641</v>
      </c>
      <c r="W24" s="25">
        <v>36268</v>
      </c>
      <c r="X24" s="25">
        <v>35815</v>
      </c>
      <c r="Y24" s="25">
        <v>36091</v>
      </c>
      <c r="Z24" s="25">
        <v>23777</v>
      </c>
      <c r="AA24" s="26">
        <v>33855</v>
      </c>
      <c r="AB24" s="25">
        <v>37096</v>
      </c>
      <c r="AC24" s="26">
        <v>38537</v>
      </c>
      <c r="AD24" s="25">
        <v>36438</v>
      </c>
      <c r="AE24" s="26">
        <v>33478</v>
      </c>
      <c r="AF24" s="25">
        <v>38512</v>
      </c>
      <c r="AG24" s="26">
        <v>38465</v>
      </c>
      <c r="AH24" s="25">
        <v>26016</v>
      </c>
      <c r="AI24" s="26">
        <v>37911</v>
      </c>
      <c r="AJ24" s="25">
        <v>38391</v>
      </c>
      <c r="AK24" s="26">
        <v>38359</v>
      </c>
      <c r="AL24" s="25">
        <v>37278</v>
      </c>
      <c r="AM24" s="14">
        <f>SUM(AN24:AY24)</f>
        <v>434011</v>
      </c>
      <c r="AN24" s="119">
        <v>35229</v>
      </c>
      <c r="AO24" s="25">
        <v>37903</v>
      </c>
      <c r="AP24" s="90">
        <v>38762</v>
      </c>
      <c r="AQ24" s="101">
        <v>36787</v>
      </c>
      <c r="AR24" s="29">
        <v>32796</v>
      </c>
      <c r="AS24" s="28">
        <v>36510</v>
      </c>
      <c r="AT24" s="29">
        <v>38009</v>
      </c>
      <c r="AU24" s="28">
        <v>34878</v>
      </c>
      <c r="AV24" s="29">
        <v>35899</v>
      </c>
      <c r="AW24" s="28">
        <v>36809</v>
      </c>
      <c r="AX24" s="29">
        <v>36098</v>
      </c>
      <c r="AY24" s="28">
        <v>34331</v>
      </c>
      <c r="AZ24" s="110">
        <f>SUM(BA24:BL24)</f>
        <v>437545</v>
      </c>
      <c r="BA24" s="12">
        <v>32368</v>
      </c>
      <c r="BB24" s="14">
        <v>35179</v>
      </c>
      <c r="BC24" s="14">
        <v>36650</v>
      </c>
      <c r="BD24" s="14">
        <v>35082</v>
      </c>
      <c r="BE24" s="14">
        <v>33696</v>
      </c>
      <c r="BF24" s="14">
        <v>36663</v>
      </c>
      <c r="BG24" s="14">
        <v>39224</v>
      </c>
      <c r="BH24" s="14">
        <v>35244</v>
      </c>
      <c r="BI24" s="14">
        <v>37809</v>
      </c>
      <c r="BJ24" s="14">
        <v>38709</v>
      </c>
      <c r="BK24" s="14">
        <v>38790</v>
      </c>
      <c r="BL24" s="14">
        <v>38131</v>
      </c>
      <c r="BM24" s="14">
        <v>36969</v>
      </c>
      <c r="BN24" s="14">
        <v>38412</v>
      </c>
      <c r="BO24" s="14">
        <v>39579</v>
      </c>
      <c r="BP24" s="14">
        <v>39506</v>
      </c>
      <c r="BQ24" s="14">
        <v>37549</v>
      </c>
      <c r="BR24" s="14">
        <v>40753</v>
      </c>
      <c r="BS24" s="14">
        <v>42074</v>
      </c>
      <c r="BT24" s="14">
        <v>37729</v>
      </c>
      <c r="BU24" s="14">
        <v>40727</v>
      </c>
      <c r="BV24" s="14">
        <v>41658</v>
      </c>
      <c r="BW24" s="14">
        <v>41144</v>
      </c>
      <c r="BX24" s="14">
        <v>40861</v>
      </c>
      <c r="BY24" s="110">
        <f>SUM(BM24:BX24)</f>
        <v>476961</v>
      </c>
      <c r="BZ24" s="113">
        <v>38818</v>
      </c>
      <c r="CA24" s="14">
        <v>42909</v>
      </c>
      <c r="CB24" s="14">
        <v>42523</v>
      </c>
      <c r="CC24" s="14">
        <v>42057</v>
      </c>
      <c r="CD24" s="26">
        <v>38814</v>
      </c>
      <c r="CE24" s="88">
        <v>42382</v>
      </c>
      <c r="CF24" s="88">
        <v>44269</v>
      </c>
      <c r="CG24" s="88">
        <v>42320</v>
      </c>
      <c r="CH24" s="88">
        <v>43346</v>
      </c>
      <c r="CI24" s="88">
        <v>43267</v>
      </c>
      <c r="CJ24" s="14">
        <v>42601</v>
      </c>
      <c r="CK24" s="110">
        <v>39806</v>
      </c>
      <c r="CL24" s="102">
        <f>SUM(BZ24:CK24)</f>
        <v>503112</v>
      </c>
      <c r="CM24" s="289">
        <v>39699</v>
      </c>
      <c r="CN24" s="290">
        <v>42018</v>
      </c>
      <c r="CO24" s="290">
        <v>44230</v>
      </c>
      <c r="CP24" s="327">
        <v>41934</v>
      </c>
      <c r="CQ24" s="334">
        <v>37918</v>
      </c>
      <c r="CR24" s="334">
        <v>42726</v>
      </c>
      <c r="CS24" s="334">
        <v>45133</v>
      </c>
      <c r="CT24" s="334">
        <v>39683</v>
      </c>
      <c r="CU24" s="334">
        <v>43751</v>
      </c>
      <c r="CV24" s="334">
        <v>44226</v>
      </c>
      <c r="CW24" s="327">
        <v>44447</v>
      </c>
      <c r="CX24" s="317">
        <v>42255</v>
      </c>
      <c r="CY24" s="102">
        <f>SUM(CM24:CX24)</f>
        <v>508020</v>
      </c>
      <c r="CZ24" s="327">
        <v>42255</v>
      </c>
      <c r="DA24" s="327">
        <v>43497</v>
      </c>
      <c r="DB24" s="327">
        <v>45394</v>
      </c>
      <c r="DC24" s="327">
        <v>43718</v>
      </c>
      <c r="DD24" s="327">
        <v>40207</v>
      </c>
      <c r="DE24" s="327">
        <v>44988</v>
      </c>
      <c r="DF24" s="327">
        <v>45418</v>
      </c>
      <c r="DG24" s="327">
        <v>42142</v>
      </c>
      <c r="DH24" s="327">
        <v>43601</v>
      </c>
      <c r="DI24" s="327">
        <v>46689</v>
      </c>
      <c r="DJ24" s="327">
        <v>46653</v>
      </c>
      <c r="DK24" s="327">
        <v>47018</v>
      </c>
      <c r="DL24" s="102">
        <f>SUM(CZ24:DK24)</f>
        <v>531580</v>
      </c>
      <c r="DM24" s="327">
        <v>42245</v>
      </c>
      <c r="DN24" s="327">
        <v>47100</v>
      </c>
      <c r="DO24" s="327">
        <v>49616</v>
      </c>
      <c r="DP24" s="327">
        <v>47325</v>
      </c>
      <c r="DQ24" s="327">
        <v>43848</v>
      </c>
      <c r="DR24" s="327">
        <v>48034</v>
      </c>
      <c r="DS24" s="327">
        <v>49084</v>
      </c>
      <c r="DT24" s="327">
        <v>43240</v>
      </c>
      <c r="DU24" s="327">
        <v>47623</v>
      </c>
      <c r="DV24" s="327">
        <v>49941</v>
      </c>
      <c r="DW24" s="327">
        <v>48217</v>
      </c>
      <c r="DX24" s="290">
        <v>47364</v>
      </c>
      <c r="DY24" s="306">
        <f>SUM(DM24:DX24)</f>
        <v>563637</v>
      </c>
      <c r="DZ24" s="327">
        <v>44342</v>
      </c>
      <c r="EA24" s="327">
        <v>49371</v>
      </c>
      <c r="EB24" s="327">
        <v>50272</v>
      </c>
      <c r="EC24" s="327">
        <v>49306</v>
      </c>
      <c r="ED24" s="327">
        <v>45431</v>
      </c>
      <c r="EE24" s="327">
        <v>50394</v>
      </c>
      <c r="EF24" s="327">
        <v>52551</v>
      </c>
      <c r="EG24" s="327">
        <v>45950</v>
      </c>
      <c r="EH24" s="327">
        <v>49767</v>
      </c>
      <c r="EI24" s="327">
        <v>49364</v>
      </c>
      <c r="EJ24" s="327">
        <v>44317</v>
      </c>
      <c r="EK24" s="327">
        <v>39820</v>
      </c>
      <c r="EL24" s="306">
        <f>SUM(DZ24:EK24)</f>
        <v>570885</v>
      </c>
      <c r="EM24" s="327">
        <v>33484</v>
      </c>
      <c r="EN24" s="327">
        <v>30292</v>
      </c>
      <c r="EO24" s="327">
        <v>30825</v>
      </c>
      <c r="EP24" s="327">
        <v>29959.281999999999</v>
      </c>
      <c r="EQ24" s="327">
        <v>28888.477999999999</v>
      </c>
      <c r="ER24" s="327">
        <v>33323.707000000002</v>
      </c>
      <c r="ES24" s="327">
        <v>34785.214</v>
      </c>
      <c r="ET24" s="327">
        <v>32177.661</v>
      </c>
      <c r="EU24" s="327">
        <v>37167.122000000003</v>
      </c>
      <c r="EV24" s="327">
        <v>37988.785000000003</v>
      </c>
      <c r="EW24" s="327">
        <v>38581.373</v>
      </c>
      <c r="EX24" s="327">
        <v>38692.544999999998</v>
      </c>
      <c r="EY24" s="306">
        <f>SUM(EM24:EX24)</f>
        <v>406165.16700000007</v>
      </c>
      <c r="EZ24" s="327">
        <v>37363.31</v>
      </c>
      <c r="FA24" s="327">
        <v>39883.771999999997</v>
      </c>
      <c r="FB24" s="327">
        <v>41544.021000000001</v>
      </c>
      <c r="FC24" s="327">
        <v>41500.811999999998</v>
      </c>
      <c r="FD24" s="327">
        <v>38155.127999999997</v>
      </c>
      <c r="FE24" s="327">
        <v>44030.517</v>
      </c>
      <c r="FF24" s="327">
        <v>45108.945</v>
      </c>
      <c r="FG24" s="327">
        <v>55973.887999999999</v>
      </c>
      <c r="FH24" s="327">
        <v>45005.357000000004</v>
      </c>
      <c r="FI24" s="327">
        <v>43618.978000000003</v>
      </c>
      <c r="FJ24" s="327">
        <v>44286.224999999999</v>
      </c>
      <c r="FK24" s="327">
        <v>43907.999000000003</v>
      </c>
      <c r="FL24" s="306">
        <f>SUM(EZ24:FK24)</f>
        <v>520378.95199999999</v>
      </c>
      <c r="FM24" s="327">
        <v>42120.442000000003</v>
      </c>
      <c r="FN24" s="327">
        <v>45746.177000000003</v>
      </c>
      <c r="FO24" s="327">
        <v>45294.673000000003</v>
      </c>
      <c r="FP24" s="327">
        <v>41553.031999999999</v>
      </c>
      <c r="FQ24" s="327">
        <v>36868.275999999998</v>
      </c>
      <c r="FR24" s="327">
        <v>44199.012999999999</v>
      </c>
      <c r="FS24" s="327">
        <v>45864.25</v>
      </c>
      <c r="FT24" s="327">
        <v>42969.872000000003</v>
      </c>
      <c r="FU24" s="327">
        <v>47147.877</v>
      </c>
      <c r="FV24" s="327">
        <v>47499.478000000003</v>
      </c>
      <c r="FW24" s="327">
        <v>46978.495999999999</v>
      </c>
      <c r="FX24" s="327">
        <v>46196.175999999999</v>
      </c>
      <c r="FY24" s="306">
        <f>SUM(FM24:FX24)</f>
        <v>532437.76199999999</v>
      </c>
      <c r="FZ24" s="327">
        <v>43393.398999999998</v>
      </c>
      <c r="GA24" s="327">
        <v>47946.148000000001</v>
      </c>
      <c r="GB24" s="327">
        <v>48311.998</v>
      </c>
      <c r="GC24" s="327">
        <v>46103.332000000002</v>
      </c>
      <c r="GD24" s="327">
        <v>42590.98</v>
      </c>
      <c r="GE24" s="327">
        <v>46768.845999999998</v>
      </c>
      <c r="GF24" s="327">
        <v>47591.421000000002</v>
      </c>
      <c r="GG24" s="327">
        <v>42156.726999999999</v>
      </c>
      <c r="GH24" s="327">
        <v>45723.739000000001</v>
      </c>
      <c r="GI24" s="327">
        <v>45675.955000000002</v>
      </c>
      <c r="GJ24" s="327">
        <v>43055.175999999999</v>
      </c>
      <c r="GK24" s="327">
        <v>41938.699000000001</v>
      </c>
      <c r="GL24" s="306">
        <f>SUM(FZ24:GK24)</f>
        <v>541256.41999999993</v>
      </c>
      <c r="GM24" s="327">
        <v>42827.292999999998</v>
      </c>
      <c r="GN24" s="327">
        <v>46459.190999999999</v>
      </c>
      <c r="GO24" s="327">
        <v>48471.482000000004</v>
      </c>
      <c r="GP24" s="327">
        <v>47439.228999999999</v>
      </c>
      <c r="GQ24" s="327">
        <v>45479.186999999998</v>
      </c>
      <c r="GR24" s="327">
        <v>49440.042000000001</v>
      </c>
      <c r="GS24" s="327">
        <v>57022.748</v>
      </c>
      <c r="GT24" s="327">
        <v>51060.197</v>
      </c>
      <c r="GU24" s="327">
        <v>50229.784</v>
      </c>
      <c r="GV24" s="327">
        <v>50589.296999999999</v>
      </c>
      <c r="GW24" s="327">
        <v>49937.33</v>
      </c>
      <c r="GX24" s="327">
        <v>46865.646000000001</v>
      </c>
      <c r="GY24" s="306">
        <f>SUM(GM24:GX24)</f>
        <v>585821.42599999998</v>
      </c>
      <c r="GZ24" s="327">
        <v>47224.444000000003</v>
      </c>
      <c r="HA24" s="327">
        <v>48529.947</v>
      </c>
      <c r="HB24" s="327">
        <v>53941.968999999997</v>
      </c>
      <c r="HC24" s="327">
        <v>49177.862999999998</v>
      </c>
      <c r="HD24" s="327">
        <v>46912.28</v>
      </c>
      <c r="HE24" s="327">
        <v>50877.627999999997</v>
      </c>
      <c r="HF24" s="327">
        <v>52731.572</v>
      </c>
      <c r="HG24" s="327">
        <v>47683.224999999999</v>
      </c>
      <c r="HH24" s="327">
        <v>51519.055999999997</v>
      </c>
      <c r="HI24" s="327">
        <v>51183.813999999998</v>
      </c>
      <c r="HJ24" s="327">
        <v>50191.563999999998</v>
      </c>
      <c r="HK24" s="327">
        <v>47567.245999999999</v>
      </c>
      <c r="HL24" s="306">
        <f>SUM(GZ24:HK24)</f>
        <v>597540.60800000001</v>
      </c>
      <c r="HM24" s="327">
        <v>47940.161999999997</v>
      </c>
      <c r="HN24" s="327">
        <v>49446.362999999998</v>
      </c>
      <c r="HO24" s="327">
        <v>52318.387000000002</v>
      </c>
      <c r="HP24" s="327">
        <v>49880.303</v>
      </c>
      <c r="HQ24" s="290">
        <v>44240.04</v>
      </c>
      <c r="HR24" s="443">
        <v>49235.451000000001</v>
      </c>
      <c r="HS24" s="449">
        <v>51444.216999999997</v>
      </c>
      <c r="HT24" s="453">
        <v>44818.635999999999</v>
      </c>
      <c r="HU24" s="453">
        <v>49732.542999999998</v>
      </c>
      <c r="HV24" s="453">
        <v>45660.686999999998</v>
      </c>
      <c r="HW24" s="453">
        <v>48838.406999999999</v>
      </c>
      <c r="HX24" s="453">
        <v>46605.998</v>
      </c>
      <c r="HY24" s="477">
        <f>SUM(HM24:HX24)</f>
        <v>580161.19400000002</v>
      </c>
      <c r="HZ24" s="467">
        <v>46730655</v>
      </c>
      <c r="IA24" s="467">
        <v>49874265</v>
      </c>
      <c r="IB24" s="467">
        <v>52017090</v>
      </c>
      <c r="IC24" s="467">
        <v>49547048</v>
      </c>
      <c r="ID24" s="467">
        <v>45905052</v>
      </c>
      <c r="IE24" s="467">
        <v>50138459</v>
      </c>
      <c r="IF24" s="467">
        <v>50873867</v>
      </c>
      <c r="IG24" s="467">
        <v>48096257</v>
      </c>
      <c r="IH24" s="467">
        <v>50724711</v>
      </c>
      <c r="II24" s="467">
        <v>50887251</v>
      </c>
      <c r="IJ24" s="467">
        <v>51472495</v>
      </c>
      <c r="IK24" s="467">
        <v>49416873</v>
      </c>
      <c r="IL24" s="468">
        <f>SUM(HZ24:IK24)</f>
        <v>595684023</v>
      </c>
      <c r="IM24" s="467">
        <v>47398685</v>
      </c>
      <c r="IN24" s="467">
        <v>49335207</v>
      </c>
      <c r="IO24" s="467">
        <v>52935622</v>
      </c>
      <c r="IP24" s="467">
        <v>49012588</v>
      </c>
      <c r="IQ24" s="467">
        <v>45862979</v>
      </c>
      <c r="IR24" s="519">
        <v>50957294</v>
      </c>
      <c r="IS24" s="467">
        <v>53016470</v>
      </c>
      <c r="IT24" s="467">
        <v>47229149</v>
      </c>
      <c r="IU24" s="467">
        <v>50541803</v>
      </c>
      <c r="IV24" s="467">
        <v>52007944</v>
      </c>
      <c r="IW24" s="467">
        <v>52279474</v>
      </c>
      <c r="IX24" s="467">
        <v>50750834</v>
      </c>
      <c r="IY24" s="468">
        <f>SUM(IM24:IX24)</f>
        <v>601328049</v>
      </c>
      <c r="IZ24" s="467">
        <v>47166503</v>
      </c>
      <c r="JA24" s="467">
        <v>49430129</v>
      </c>
      <c r="JB24" s="467">
        <v>54856729</v>
      </c>
      <c r="JC24" s="467">
        <v>47775944</v>
      </c>
      <c r="JD24" s="467">
        <v>47056369</v>
      </c>
      <c r="JE24" s="467">
        <v>52482988</v>
      </c>
      <c r="JF24" s="520">
        <v>52915</v>
      </c>
      <c r="JG24" s="484">
        <v>47375668</v>
      </c>
      <c r="JH24" s="484">
        <v>51374867</v>
      </c>
      <c r="JI24" s="484">
        <v>52083938</v>
      </c>
      <c r="JJ24" s="484">
        <v>51427032</v>
      </c>
      <c r="JK24" s="484">
        <v>49647811</v>
      </c>
      <c r="JL24" s="529">
        <v>603594</v>
      </c>
      <c r="JM24" s="467">
        <v>47495924</v>
      </c>
      <c r="JN24" s="573">
        <v>48507</v>
      </c>
    </row>
    <row r="25" spans="1:274" x14ac:dyDescent="0.15">
      <c r="A25" s="556"/>
      <c r="B25" s="35" t="s">
        <v>76</v>
      </c>
      <c r="C25" s="16"/>
      <c r="D25" s="17">
        <f t="shared" ref="D25:N25" si="163">(D24/C24-1)*100</f>
        <v>3.4263806568999522</v>
      </c>
      <c r="E25" s="18">
        <f t="shared" si="163"/>
        <v>-2.8846031712428832</v>
      </c>
      <c r="F25" s="17">
        <f t="shared" si="163"/>
        <v>-4.9051322742095778</v>
      </c>
      <c r="G25" s="18">
        <f t="shared" si="163"/>
        <v>-2.8546082220418989</v>
      </c>
      <c r="H25" s="17">
        <f t="shared" si="163"/>
        <v>1.8646071512002482</v>
      </c>
      <c r="I25" s="18">
        <f t="shared" si="163"/>
        <v>3.1311748449701193</v>
      </c>
      <c r="J25" s="17">
        <f t="shared" si="163"/>
        <v>1.4386533934700241</v>
      </c>
      <c r="K25" s="18">
        <f t="shared" si="163"/>
        <v>-1.4071782698903745</v>
      </c>
      <c r="L25" s="17">
        <f t="shared" si="163"/>
        <v>-7.9807662074572461</v>
      </c>
      <c r="M25" s="18">
        <f t="shared" si="163"/>
        <v>-0.61700221857206028</v>
      </c>
      <c r="N25" s="18">
        <f t="shared" si="163"/>
        <v>6.6653568928891627</v>
      </c>
      <c r="O25" s="1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18">
        <f t="shared" ref="AA25:AL25" si="164">(AA24/O24-1)*100</f>
        <v>3.0844650143109442</v>
      </c>
      <c r="AB25" s="18">
        <f t="shared" si="164"/>
        <v>5.5663062037563993</v>
      </c>
      <c r="AC25" s="18">
        <f t="shared" si="164"/>
        <v>5.6039679929847708</v>
      </c>
      <c r="AD25" s="18">
        <f t="shared" si="164"/>
        <v>3.2852405113523719</v>
      </c>
      <c r="AE25" s="18">
        <f t="shared" si="164"/>
        <v>7.4217872613508762</v>
      </c>
      <c r="AF25" s="18">
        <f t="shared" si="164"/>
        <v>8.5517785669992676</v>
      </c>
      <c r="AG25" s="18">
        <f t="shared" si="164"/>
        <v>6.2363631342005732</v>
      </c>
      <c r="AH25" s="18">
        <f t="shared" si="164"/>
        <v>-20.296559541680704</v>
      </c>
      <c r="AI25" s="18">
        <f t="shared" si="164"/>
        <v>4.5301643321936647</v>
      </c>
      <c r="AJ25" s="18">
        <f t="shared" si="164"/>
        <v>7.1925171017729994</v>
      </c>
      <c r="AK25" s="18">
        <f t="shared" si="164"/>
        <v>6.2841151533623352</v>
      </c>
      <c r="AL25" s="86">
        <f t="shared" si="164"/>
        <v>56.781763889473027</v>
      </c>
      <c r="AM25" s="18">
        <f>(AM24/N24-1)*100</f>
        <v>-7.4826862152799212E-2</v>
      </c>
      <c r="AN25" s="116">
        <f t="shared" ref="AN25:AY25" si="165">(AN24/AA24-1)*100</f>
        <v>4.0584847142224101</v>
      </c>
      <c r="AO25" s="18">
        <f t="shared" si="165"/>
        <v>2.1754367047660095</v>
      </c>
      <c r="AP25" s="86">
        <f t="shared" si="165"/>
        <v>0.58385447751512221</v>
      </c>
      <c r="AQ25" s="18">
        <f t="shared" si="165"/>
        <v>0.95779131675723939</v>
      </c>
      <c r="AR25" s="18">
        <f t="shared" si="165"/>
        <v>-2.0371587311069916</v>
      </c>
      <c r="AS25" s="17">
        <f t="shared" si="165"/>
        <v>-5.198379725799751</v>
      </c>
      <c r="AT25" s="18">
        <f t="shared" si="165"/>
        <v>-1.1854933056024919</v>
      </c>
      <c r="AU25" s="17">
        <f t="shared" si="165"/>
        <v>34.063653136531372</v>
      </c>
      <c r="AV25" s="18">
        <f t="shared" si="165"/>
        <v>-5.3071667853657249</v>
      </c>
      <c r="AW25" s="17">
        <f t="shared" si="165"/>
        <v>-4.1207574691985105</v>
      </c>
      <c r="AX25" s="18">
        <f t="shared" si="165"/>
        <v>-5.8943142417685497</v>
      </c>
      <c r="AY25" s="17">
        <f t="shared" si="165"/>
        <v>-7.9054670314931075</v>
      </c>
      <c r="AZ25" s="106">
        <f t="shared" ref="AZ25:BL25" si="166">(AZ24/AM24-1)*100</f>
        <v>0.81426507623079125</v>
      </c>
      <c r="BA25" s="123">
        <f t="shared" si="166"/>
        <v>-8.1211501887649362</v>
      </c>
      <c r="BB25" s="18">
        <f t="shared" si="166"/>
        <v>-7.1867662190327923</v>
      </c>
      <c r="BC25" s="18">
        <f t="shared" si="166"/>
        <v>-5.4486352613384188</v>
      </c>
      <c r="BD25" s="18">
        <f t="shared" si="166"/>
        <v>-4.6347894636692306</v>
      </c>
      <c r="BE25" s="18">
        <f t="shared" si="166"/>
        <v>2.7442371020856227</v>
      </c>
      <c r="BF25" s="18">
        <f t="shared" si="166"/>
        <v>0.41906327033689461</v>
      </c>
      <c r="BG25" s="18">
        <f t="shared" si="166"/>
        <v>3.1966113288957931</v>
      </c>
      <c r="BH25" s="18">
        <f t="shared" si="166"/>
        <v>1.0493720970239151</v>
      </c>
      <c r="BI25" s="18">
        <f t="shared" si="166"/>
        <v>5.3204824646926108</v>
      </c>
      <c r="BJ25" s="18">
        <f t="shared" si="166"/>
        <v>5.1617810861473989</v>
      </c>
      <c r="BK25" s="18">
        <f t="shared" si="166"/>
        <v>7.4574768685245818</v>
      </c>
      <c r="BL25" s="18">
        <f t="shared" si="166"/>
        <v>11.068713407707321</v>
      </c>
      <c r="BM25" s="18">
        <f t="shared" ref="BM25:BX25" si="167">(BM24/BA24-1)*100</f>
        <v>14.21465645081561</v>
      </c>
      <c r="BN25" s="18">
        <f t="shared" si="167"/>
        <v>9.1901418459876538</v>
      </c>
      <c r="BO25" s="18">
        <f t="shared" si="167"/>
        <v>7.9918144611186959</v>
      </c>
      <c r="BP25" s="18">
        <f t="shared" si="167"/>
        <v>12.610455504247199</v>
      </c>
      <c r="BQ25" s="18">
        <f t="shared" si="167"/>
        <v>11.434591642924975</v>
      </c>
      <c r="BR25" s="18">
        <f t="shared" si="167"/>
        <v>11.155661020647511</v>
      </c>
      <c r="BS25" s="18">
        <f t="shared" si="167"/>
        <v>7.2659596165612905</v>
      </c>
      <c r="BT25" s="18">
        <f t="shared" si="167"/>
        <v>7.050845533991601</v>
      </c>
      <c r="BU25" s="18">
        <f t="shared" si="167"/>
        <v>7.7177391626332303</v>
      </c>
      <c r="BV25" s="18">
        <f t="shared" si="167"/>
        <v>7.618383321708122</v>
      </c>
      <c r="BW25" s="18">
        <f t="shared" si="167"/>
        <v>6.0685743748388754</v>
      </c>
      <c r="BX25" s="18">
        <f t="shared" si="167"/>
        <v>7.1595289921586147</v>
      </c>
      <c r="BY25" s="307">
        <f>(BY24/AZ24-1)*100</f>
        <v>9.0084448456730257</v>
      </c>
      <c r="BZ25" s="116">
        <f t="shared" ref="BZ25:DE25" si="168">(BZ24/BM24-1)*100</f>
        <v>5.0014877329654484</v>
      </c>
      <c r="CA25" s="18">
        <f t="shared" si="168"/>
        <v>11.707278975320223</v>
      </c>
      <c r="CB25" s="18">
        <f t="shared" si="168"/>
        <v>7.4382879810000357</v>
      </c>
      <c r="CC25" s="18">
        <f t="shared" si="168"/>
        <v>6.4572470004556237</v>
      </c>
      <c r="CD25" s="18">
        <f t="shared" si="168"/>
        <v>3.3689312631494772</v>
      </c>
      <c r="CE25" s="86">
        <f t="shared" si="168"/>
        <v>3.9972517360685078</v>
      </c>
      <c r="CF25" s="86">
        <f t="shared" si="168"/>
        <v>5.216998621476443</v>
      </c>
      <c r="CG25" s="86">
        <f t="shared" si="168"/>
        <v>12.168358557078118</v>
      </c>
      <c r="CH25" s="86">
        <f t="shared" si="168"/>
        <v>6.4306234193532541</v>
      </c>
      <c r="CI25" s="86">
        <f t="shared" si="168"/>
        <v>3.8624033799030233</v>
      </c>
      <c r="CJ25" s="18">
        <f t="shared" si="168"/>
        <v>3.5412210771923025</v>
      </c>
      <c r="CK25" s="106">
        <f t="shared" si="168"/>
        <v>-2.5819240840899593</v>
      </c>
      <c r="CL25" s="310">
        <f t="shared" si="168"/>
        <v>5.4828382194770597</v>
      </c>
      <c r="CM25" s="291">
        <f t="shared" si="168"/>
        <v>2.2695656654129426</v>
      </c>
      <c r="CN25" s="292">
        <f t="shared" si="168"/>
        <v>-2.0764874501852715</v>
      </c>
      <c r="CO25" s="292">
        <f t="shared" si="168"/>
        <v>4.0142981445335568</v>
      </c>
      <c r="CP25" s="324">
        <f t="shared" si="168"/>
        <v>-0.29246023254154707</v>
      </c>
      <c r="CQ25" s="331">
        <f t="shared" si="168"/>
        <v>-2.3084454062966997</v>
      </c>
      <c r="CR25" s="331">
        <f t="shared" si="168"/>
        <v>0.81166532962106963</v>
      </c>
      <c r="CS25" s="331">
        <f t="shared" si="168"/>
        <v>1.9517043529332145</v>
      </c>
      <c r="CT25" s="331">
        <f t="shared" si="168"/>
        <v>-6.2310964083175824</v>
      </c>
      <c r="CU25" s="331">
        <f t="shared" si="168"/>
        <v>0.9343422691828529</v>
      </c>
      <c r="CV25" s="331">
        <f t="shared" si="168"/>
        <v>2.2164698268888561</v>
      </c>
      <c r="CW25" s="324">
        <f t="shared" si="168"/>
        <v>4.3332316142813632</v>
      </c>
      <c r="CX25" s="314">
        <f t="shared" si="168"/>
        <v>6.1523388433904369</v>
      </c>
      <c r="CY25" s="310">
        <f t="shared" si="168"/>
        <v>0.97552831178744359</v>
      </c>
      <c r="CZ25" s="324">
        <f t="shared" si="168"/>
        <v>6.4384493312174218</v>
      </c>
      <c r="DA25" s="324">
        <f t="shared" si="168"/>
        <v>3.519920034271018</v>
      </c>
      <c r="DB25" s="324">
        <f t="shared" si="168"/>
        <v>2.6316979425729192</v>
      </c>
      <c r="DC25" s="324">
        <f t="shared" si="168"/>
        <v>4.2543043830781668</v>
      </c>
      <c r="DD25" s="324">
        <f t="shared" si="168"/>
        <v>6.0367107969829581</v>
      </c>
      <c r="DE25" s="324">
        <f t="shared" si="168"/>
        <v>5.2942002527734955</v>
      </c>
      <c r="DF25" s="324">
        <f>(DF24/CS24-1)*100</f>
        <v>0.63146699754059732</v>
      </c>
      <c r="DG25" s="324">
        <f>(DG24/CT24-1)*100</f>
        <v>6.1966081193458145</v>
      </c>
      <c r="DH25" s="324">
        <f>(DH24/CT24-1)*100</f>
        <v>9.8732454703525541</v>
      </c>
      <c r="DI25" s="324">
        <f>(DI24/CU24-1)*100</f>
        <v>6.7152750794267524</v>
      </c>
      <c r="DJ25" s="324">
        <f>(DJ24/CV24-1)*100</f>
        <v>5.4877221543888188</v>
      </c>
      <c r="DK25" s="324">
        <f>(DK24/CW24-1)*100</f>
        <v>5.7844173959997303</v>
      </c>
      <c r="DL25" s="310">
        <f t="shared" ref="DL25:EL25" si="169">(DL24/CY24-1)*100</f>
        <v>4.6376126924136951</v>
      </c>
      <c r="DM25" s="324">
        <f t="shared" si="169"/>
        <v>-2.3665838362318947E-2</v>
      </c>
      <c r="DN25" s="324">
        <f t="shared" si="169"/>
        <v>8.2833298848196346</v>
      </c>
      <c r="DO25" s="324">
        <f t="shared" si="169"/>
        <v>9.3007886504824491</v>
      </c>
      <c r="DP25" s="324">
        <f t="shared" si="169"/>
        <v>8.2506061576467449</v>
      </c>
      <c r="DQ25" s="324">
        <f t="shared" si="169"/>
        <v>9.0556370781207143</v>
      </c>
      <c r="DR25" s="324">
        <f t="shared" si="169"/>
        <v>6.7706944073975261</v>
      </c>
      <c r="DS25" s="324">
        <f t="shared" si="169"/>
        <v>8.0716896384693371</v>
      </c>
      <c r="DT25" s="324">
        <f t="shared" si="169"/>
        <v>2.6054767215604402</v>
      </c>
      <c r="DU25" s="324">
        <f t="shared" si="169"/>
        <v>9.2245590697461068</v>
      </c>
      <c r="DV25" s="324">
        <f t="shared" si="169"/>
        <v>6.9652380646404888</v>
      </c>
      <c r="DW25" s="324">
        <f t="shared" si="169"/>
        <v>3.352410348744983</v>
      </c>
      <c r="DX25" s="292">
        <f t="shared" si="169"/>
        <v>0.73588838317240057</v>
      </c>
      <c r="DY25" s="401">
        <f t="shared" si="169"/>
        <v>6.0305128108657291</v>
      </c>
      <c r="DZ25" s="324">
        <f t="shared" si="169"/>
        <v>4.9639010533790939</v>
      </c>
      <c r="EA25" s="324">
        <f t="shared" si="169"/>
        <v>4.8216560509554141</v>
      </c>
      <c r="EB25" s="324">
        <f t="shared" si="169"/>
        <v>1.3221541438245721</v>
      </c>
      <c r="EC25" s="324">
        <f t="shared" si="169"/>
        <v>4.185948230322234</v>
      </c>
      <c r="ED25" s="324">
        <f t="shared" si="169"/>
        <v>3.6101988688195474</v>
      </c>
      <c r="EE25" s="324">
        <f t="shared" si="169"/>
        <v>4.9131864929008673</v>
      </c>
      <c r="EF25" s="324">
        <f t="shared" si="169"/>
        <v>7.0634015157688967</v>
      </c>
      <c r="EG25" s="324">
        <f t="shared" si="169"/>
        <v>6.2673450508788253</v>
      </c>
      <c r="EH25" s="324">
        <f t="shared" si="169"/>
        <v>4.5020263318144682</v>
      </c>
      <c r="EI25" s="324">
        <f t="shared" si="169"/>
        <v>-1.1553633287278986</v>
      </c>
      <c r="EJ25" s="324">
        <f t="shared" si="169"/>
        <v>-8.0884335400377427</v>
      </c>
      <c r="EK25" s="324">
        <f t="shared" si="169"/>
        <v>-15.927708808377671</v>
      </c>
      <c r="EL25" s="401">
        <f t="shared" si="169"/>
        <v>1.285934032009961</v>
      </c>
      <c r="EM25" s="324">
        <f t="shared" ref="EM25:EX25" si="170">(EM24/DZ24-1)*100</f>
        <v>-24.486942402237155</v>
      </c>
      <c r="EN25" s="324">
        <f t="shared" si="170"/>
        <v>-38.644143323003377</v>
      </c>
      <c r="EO25" s="324">
        <f t="shared" si="170"/>
        <v>-38.683561425843415</v>
      </c>
      <c r="EP25" s="324">
        <f t="shared" si="170"/>
        <v>-39.238060276639764</v>
      </c>
      <c r="EQ25" s="324">
        <f t="shared" si="170"/>
        <v>-36.412410028394717</v>
      </c>
      <c r="ER25" s="324">
        <f t="shared" si="170"/>
        <v>-33.873661547009561</v>
      </c>
      <c r="ES25" s="324">
        <f t="shared" si="170"/>
        <v>-33.80675153660254</v>
      </c>
      <c r="ET25" s="324">
        <f t="shared" si="170"/>
        <v>-29.972446137105546</v>
      </c>
      <c r="EU25" s="324">
        <f t="shared" si="170"/>
        <v>-25.317736652802047</v>
      </c>
      <c r="EV25" s="324">
        <f t="shared" si="170"/>
        <v>-23.043543878129803</v>
      </c>
      <c r="EW25" s="324">
        <f t="shared" si="170"/>
        <v>-12.942272717016046</v>
      </c>
      <c r="EX25" s="324">
        <f t="shared" si="170"/>
        <v>-2.8313787041687632</v>
      </c>
      <c r="EY25" s="401">
        <f t="shared" ref="EY25:FX25" si="171">(EY24/EL24-1)*100</f>
        <v>-28.853417588481033</v>
      </c>
      <c r="EZ25" s="324">
        <f t="shared" si="171"/>
        <v>11.585563254091502</v>
      </c>
      <c r="FA25" s="324">
        <f t="shared" si="171"/>
        <v>31.664373431929207</v>
      </c>
      <c r="FB25" s="324">
        <f t="shared" si="171"/>
        <v>34.773790754257902</v>
      </c>
      <c r="FC25" s="324">
        <f t="shared" si="171"/>
        <v>38.524054081135858</v>
      </c>
      <c r="FD25" s="324">
        <f t="shared" si="171"/>
        <v>32.0773216228283</v>
      </c>
      <c r="FE25" s="324">
        <f t="shared" si="171"/>
        <v>32.129708738586601</v>
      </c>
      <c r="FF25" s="324">
        <f t="shared" si="171"/>
        <v>29.678503630881782</v>
      </c>
      <c r="FG25" s="324">
        <f t="shared" si="171"/>
        <v>73.952631299086647</v>
      </c>
      <c r="FH25" s="324">
        <f t="shared" si="171"/>
        <v>21.089163158772429</v>
      </c>
      <c r="FI25" s="324">
        <f t="shared" si="171"/>
        <v>14.82067141657728</v>
      </c>
      <c r="FJ25" s="324">
        <f t="shared" si="171"/>
        <v>14.786544791964772</v>
      </c>
      <c r="FK25" s="324">
        <f t="shared" si="171"/>
        <v>13.47922190179014</v>
      </c>
      <c r="FL25" s="401">
        <f t="shared" si="171"/>
        <v>28.120034478485923</v>
      </c>
      <c r="FM25" s="324">
        <f t="shared" si="171"/>
        <v>12.732094667201599</v>
      </c>
      <c r="FN25" s="324">
        <f t="shared" si="171"/>
        <v>14.69872257819549</v>
      </c>
      <c r="FO25" s="324">
        <f t="shared" si="171"/>
        <v>9.0281390913026893</v>
      </c>
      <c r="FP25" s="324">
        <f t="shared" si="171"/>
        <v>0.12582886330032572</v>
      </c>
      <c r="FQ25" s="324">
        <f t="shared" si="171"/>
        <v>-3.372684269333337</v>
      </c>
      <c r="FR25" s="324">
        <f t="shared" si="171"/>
        <v>0.38268003984600618</v>
      </c>
      <c r="FS25" s="324">
        <f t="shared" si="171"/>
        <v>1.6744018287282003</v>
      </c>
      <c r="FT25" s="324">
        <f t="shared" si="171"/>
        <v>-23.232290027807245</v>
      </c>
      <c r="FU25" s="324">
        <f t="shared" si="171"/>
        <v>4.7605888339025793</v>
      </c>
      <c r="FV25" s="324">
        <f t="shared" si="171"/>
        <v>8.8963569939671583</v>
      </c>
      <c r="FW25" s="324">
        <f t="shared" si="171"/>
        <v>6.0792515054060248</v>
      </c>
      <c r="FX25" s="324">
        <f t="shared" si="171"/>
        <v>5.2112987430832369</v>
      </c>
      <c r="FY25" s="401">
        <f t="shared" ref="FY25:HY25" si="172">(FY24/FL24-1)*100</f>
        <v>2.3173131721899498</v>
      </c>
      <c r="FZ25" s="324">
        <f t="shared" si="172"/>
        <v>3.0221833854449986</v>
      </c>
      <c r="GA25" s="324">
        <f t="shared" si="172"/>
        <v>4.8090816419479099</v>
      </c>
      <c r="GB25" s="324">
        <f t="shared" si="172"/>
        <v>6.6615449459144882</v>
      </c>
      <c r="GC25" s="324">
        <f t="shared" si="172"/>
        <v>10.950584785245043</v>
      </c>
      <c r="GD25" s="324">
        <f t="shared" si="172"/>
        <v>15.522027664108862</v>
      </c>
      <c r="GE25" s="324">
        <f t="shared" si="172"/>
        <v>5.8142316435889629</v>
      </c>
      <c r="GF25" s="324">
        <f t="shared" si="172"/>
        <v>3.7658328654671225</v>
      </c>
      <c r="GG25" s="324">
        <f t="shared" si="172"/>
        <v>-1.892360768493806</v>
      </c>
      <c r="GH25" s="324">
        <f t="shared" si="172"/>
        <v>-3.0205771513317492</v>
      </c>
      <c r="GI25" s="324">
        <f t="shared" si="172"/>
        <v>-3.8390379784805195</v>
      </c>
      <c r="GJ25" s="324">
        <f t="shared" si="172"/>
        <v>-8.3513103527196755</v>
      </c>
      <c r="GK25" s="324">
        <f t="shared" si="172"/>
        <v>-9.2160810020292523</v>
      </c>
      <c r="GL25" s="401">
        <f t="shared" si="172"/>
        <v>1.6562795934823127</v>
      </c>
      <c r="GM25" s="324">
        <f t="shared" si="172"/>
        <v>-1.3045901290193895</v>
      </c>
      <c r="GN25" s="324">
        <f t="shared" si="172"/>
        <v>-3.1013064907737808</v>
      </c>
      <c r="GO25" s="324">
        <f t="shared" si="172"/>
        <v>0.33011261508995027</v>
      </c>
      <c r="GP25" s="324">
        <f t="shared" si="172"/>
        <v>2.8976148621969289</v>
      </c>
      <c r="GQ25" s="324">
        <f t="shared" si="172"/>
        <v>6.7812644837005331</v>
      </c>
      <c r="GR25" s="324">
        <f t="shared" si="172"/>
        <v>5.7114858040328897</v>
      </c>
      <c r="GS25" s="324">
        <f t="shared" si="172"/>
        <v>19.817283875595983</v>
      </c>
      <c r="GT25" s="324">
        <f t="shared" si="172"/>
        <v>21.119927075932623</v>
      </c>
      <c r="GU25" s="324">
        <f t="shared" si="172"/>
        <v>9.8549355292225638</v>
      </c>
      <c r="GV25" s="324">
        <f t="shared" si="172"/>
        <v>10.756955163827442</v>
      </c>
      <c r="GW25" s="324">
        <f t="shared" si="172"/>
        <v>15.984498588508856</v>
      </c>
      <c r="GX25" s="324">
        <f t="shared" si="172"/>
        <v>11.747972916374927</v>
      </c>
      <c r="GY25" s="401">
        <f t="shared" si="172"/>
        <v>8.2336216908060145</v>
      </c>
      <c r="GZ25" s="324">
        <f t="shared" si="172"/>
        <v>10.267170049715734</v>
      </c>
      <c r="HA25" s="324">
        <f t="shared" si="172"/>
        <v>4.4571503623470399</v>
      </c>
      <c r="HB25" s="324">
        <f t="shared" si="172"/>
        <v>11.285990801766687</v>
      </c>
      <c r="HC25" s="324">
        <f t="shared" si="172"/>
        <v>3.6649710306210892</v>
      </c>
      <c r="HD25" s="324">
        <f t="shared" si="172"/>
        <v>3.1510963465551933</v>
      </c>
      <c r="HE25" s="324">
        <f t="shared" si="172"/>
        <v>2.9077362029749088</v>
      </c>
      <c r="HF25" s="324">
        <f t="shared" si="172"/>
        <v>-7.5253756623584689</v>
      </c>
      <c r="HG25" s="324">
        <f t="shared" si="172"/>
        <v>-6.6137073462525064</v>
      </c>
      <c r="HH25" s="324">
        <f t="shared" si="172"/>
        <v>2.5667480473338333</v>
      </c>
      <c r="HI25" s="324">
        <f t="shared" si="172"/>
        <v>1.1751833594366712</v>
      </c>
      <c r="HJ25" s="324">
        <f t="shared" si="172"/>
        <v>0.50910611360277525</v>
      </c>
      <c r="HK25" s="324">
        <f t="shared" si="172"/>
        <v>1.49704540507134</v>
      </c>
      <c r="HL25" s="401">
        <f t="shared" si="172"/>
        <v>2.0004700203641868</v>
      </c>
      <c r="HM25" s="324">
        <f t="shared" si="172"/>
        <v>1.5155668111200837</v>
      </c>
      <c r="HN25" s="324">
        <f t="shared" si="172"/>
        <v>1.8883515368355974</v>
      </c>
      <c r="HO25" s="324">
        <f t="shared" si="172"/>
        <v>-3.0098678822791824</v>
      </c>
      <c r="HP25" s="324">
        <f t="shared" si="172"/>
        <v>1.4283662549549936</v>
      </c>
      <c r="HQ25" s="292">
        <f t="shared" si="172"/>
        <v>-5.6962484023372895</v>
      </c>
      <c r="HR25" s="440">
        <f t="shared" si="172"/>
        <v>-3.2276996089518839</v>
      </c>
      <c r="HS25" s="446">
        <f t="shared" si="172"/>
        <v>-2.4413362833180963</v>
      </c>
      <c r="HT25" s="446">
        <f t="shared" si="172"/>
        <v>-6.0075403876310833</v>
      </c>
      <c r="HU25" s="446">
        <f t="shared" si="172"/>
        <v>-3.4676741747752482</v>
      </c>
      <c r="HV25" s="446">
        <f t="shared" si="172"/>
        <v>-10.790768737945166</v>
      </c>
      <c r="HW25" s="446">
        <f t="shared" si="172"/>
        <v>-2.695984926869377</v>
      </c>
      <c r="HX25" s="446">
        <f t="shared" si="172"/>
        <v>-2.0208191157419564</v>
      </c>
      <c r="HY25" s="480">
        <f t="shared" si="172"/>
        <v>-2.9084908652768915</v>
      </c>
      <c r="HZ25" s="446">
        <f>(46731/47940-1)*100</f>
        <v>-2.5219023779724625</v>
      </c>
      <c r="IA25" s="446">
        <f>(49874/49446-1)*100</f>
        <v>0.86559074545968784</v>
      </c>
      <c r="IB25" s="446">
        <f>(52017/HO24-1)*100</f>
        <v>-0.57606324904474482</v>
      </c>
      <c r="IC25" s="446">
        <f>(49547/HP24-1)*100</f>
        <v>-0.66820564421992135</v>
      </c>
      <c r="ID25" s="446">
        <f>(45905/HQ24-1)*100</f>
        <v>3.7634685682924385</v>
      </c>
      <c r="IE25" s="446">
        <f>(50138/HR24-1)*100</f>
        <v>1.8331283286102007</v>
      </c>
      <c r="IF25" s="446">
        <f>(50874/HS24-1)*100</f>
        <v>-1.1084180754466488</v>
      </c>
      <c r="IG25" s="446">
        <f>(48096/HT24-1)*100</f>
        <v>7.3125027722842795</v>
      </c>
      <c r="IH25" s="446">
        <f>(50725/HU24-1)*100</f>
        <v>1.9955886832491165</v>
      </c>
      <c r="II25" s="446">
        <f>(50887/HV24-1)*100</f>
        <v>11.445979776870207</v>
      </c>
      <c r="IJ25" s="446">
        <f>(51472/HW24-1)*100</f>
        <v>5.3924629441742367</v>
      </c>
      <c r="IK25" s="446">
        <f>(49417/HX24-1)*100</f>
        <v>6.0314168146340386</v>
      </c>
      <c r="IL25" s="478">
        <f>(595684/HY24-1)*100</f>
        <v>2.6756022568444893</v>
      </c>
      <c r="IM25" s="446">
        <f>(IM24/HZ24-1)*100</f>
        <v>1.4295327125202872</v>
      </c>
      <c r="IN25" s="506">
        <f t="shared" ref="IN25:IX25" si="173">(IN24/IA24-1)*100</f>
        <v>-1.0808339731923855</v>
      </c>
      <c r="IO25" s="506">
        <f t="shared" si="173"/>
        <v>1.7658273463586616</v>
      </c>
      <c r="IP25" s="506">
        <f t="shared" si="173"/>
        <v>-1.0786919131892558</v>
      </c>
      <c r="IQ25" s="506">
        <f t="shared" si="173"/>
        <v>-9.1652221633475861E-2</v>
      </c>
      <c r="IR25" s="506">
        <f t="shared" si="173"/>
        <v>1.6331475205490387</v>
      </c>
      <c r="IS25" s="506">
        <f t="shared" si="173"/>
        <v>4.2115984617406843</v>
      </c>
      <c r="IT25" s="506">
        <f t="shared" si="173"/>
        <v>-1.8028596279332065</v>
      </c>
      <c r="IU25" s="506">
        <f t="shared" si="173"/>
        <v>-0.36058953593643972</v>
      </c>
      <c r="IV25" s="506">
        <f t="shared" si="173"/>
        <v>2.2023060353564716</v>
      </c>
      <c r="IW25" s="506">
        <f t="shared" si="173"/>
        <v>1.5677868345025825</v>
      </c>
      <c r="IX25" s="506">
        <f t="shared" si="173"/>
        <v>2.6994039060302288</v>
      </c>
      <c r="IY25" s="478">
        <f>(IY24/IL24-1)*100</f>
        <v>0.94748655026457573</v>
      </c>
      <c r="IZ25" s="506">
        <f>(IZ24/IM24-1)*100</f>
        <v>-0.48984903273160407</v>
      </c>
      <c r="JA25" s="506">
        <f t="shared" ref="JA25:JE25" si="174">(JA24/IN24-1)*100</f>
        <v>0.19240215207771971</v>
      </c>
      <c r="JB25" s="506">
        <f t="shared" si="174"/>
        <v>3.629138427805767</v>
      </c>
      <c r="JC25" s="506">
        <f t="shared" si="174"/>
        <v>-2.5231150821907189</v>
      </c>
      <c r="JD25" s="506">
        <f t="shared" si="174"/>
        <v>2.6020769387876008</v>
      </c>
      <c r="JE25" s="506">
        <f t="shared" si="174"/>
        <v>2.9940640097568805</v>
      </c>
      <c r="JF25" s="506">
        <f>(JF24/53016-1)*100</f>
        <v>-0.19050852572808363</v>
      </c>
      <c r="JG25" s="506">
        <f>(JG24/IT24-1)*100</f>
        <v>0.310230023412017</v>
      </c>
      <c r="JH25" s="506">
        <f t="shared" ref="JH25:JK25" si="175">(JH24/IU24-1)*100</f>
        <v>1.6482672768915574</v>
      </c>
      <c r="JI25" s="506">
        <f t="shared" si="175"/>
        <v>0.14611998505458246</v>
      </c>
      <c r="JJ25" s="506">
        <f t="shared" si="175"/>
        <v>-1.6305481573896441</v>
      </c>
      <c r="JK25" s="506">
        <f t="shared" si="175"/>
        <v>-2.1734086182701895</v>
      </c>
      <c r="JL25" s="531">
        <f>(JL24/601328-1)*100</f>
        <v>0.37683261048877537</v>
      </c>
      <c r="JM25" s="506">
        <f t="shared" si="29"/>
        <v>0.6984215047700193</v>
      </c>
      <c r="JN25" s="572">
        <f>(JN24/49430-1)*100</f>
        <v>-1.8672870726279545</v>
      </c>
    </row>
    <row r="26" spans="1:274" x14ac:dyDescent="0.15">
      <c r="A26" s="556"/>
      <c r="B26" s="15" t="s">
        <v>35</v>
      </c>
      <c r="C26" s="27">
        <v>7054</v>
      </c>
      <c r="D26" s="28">
        <v>7301</v>
      </c>
      <c r="E26" s="29">
        <v>7089</v>
      </c>
      <c r="F26" s="28">
        <v>6777</v>
      </c>
      <c r="G26" s="29">
        <v>6656</v>
      </c>
      <c r="H26" s="28">
        <v>6498</v>
      </c>
      <c r="I26" s="29">
        <v>6712</v>
      </c>
      <c r="J26" s="28">
        <v>6782</v>
      </c>
      <c r="K26" s="29">
        <v>6754</v>
      </c>
      <c r="L26" s="28">
        <v>6445</v>
      </c>
      <c r="M26" s="29">
        <v>6509</v>
      </c>
      <c r="N26" s="25">
        <f>SUM(AA26:AL26)</f>
        <v>6358</v>
      </c>
      <c r="O26" s="29">
        <v>479</v>
      </c>
      <c r="P26" s="28">
        <v>824</v>
      </c>
      <c r="Q26" s="28">
        <v>530</v>
      </c>
      <c r="R26" s="28">
        <v>508</v>
      </c>
      <c r="S26" s="28">
        <v>476</v>
      </c>
      <c r="T26" s="28">
        <v>512</v>
      </c>
      <c r="U26" s="28">
        <v>530</v>
      </c>
      <c r="V26" s="28">
        <v>505</v>
      </c>
      <c r="W26" s="28">
        <v>564</v>
      </c>
      <c r="X26" s="28">
        <v>532</v>
      </c>
      <c r="Y26" s="28">
        <v>527</v>
      </c>
      <c r="Z26" s="28">
        <v>522</v>
      </c>
      <c r="AA26" s="29">
        <v>483</v>
      </c>
      <c r="AB26" s="28">
        <v>528</v>
      </c>
      <c r="AC26" s="29">
        <v>546</v>
      </c>
      <c r="AD26" s="28">
        <v>538</v>
      </c>
      <c r="AE26" s="29">
        <v>480</v>
      </c>
      <c r="AF26" s="28">
        <v>541</v>
      </c>
      <c r="AG26" s="29">
        <v>552</v>
      </c>
      <c r="AH26" s="28">
        <v>537</v>
      </c>
      <c r="AI26" s="29">
        <v>562</v>
      </c>
      <c r="AJ26" s="28">
        <v>540</v>
      </c>
      <c r="AK26" s="29">
        <v>524</v>
      </c>
      <c r="AL26" s="28">
        <v>527</v>
      </c>
      <c r="AM26" s="140">
        <f>SUM(AN26:AY26)</f>
        <v>6205</v>
      </c>
      <c r="AN26" s="118">
        <v>502</v>
      </c>
      <c r="AO26" s="28">
        <v>533</v>
      </c>
      <c r="AP26" s="88">
        <v>527</v>
      </c>
      <c r="AQ26" s="29">
        <v>518</v>
      </c>
      <c r="AR26" s="29">
        <v>486</v>
      </c>
      <c r="AS26" s="28">
        <v>507</v>
      </c>
      <c r="AT26" s="29">
        <v>552</v>
      </c>
      <c r="AU26" s="28">
        <v>522</v>
      </c>
      <c r="AV26" s="29">
        <v>532</v>
      </c>
      <c r="AW26" s="28">
        <v>534</v>
      </c>
      <c r="AX26" s="29">
        <v>496</v>
      </c>
      <c r="AY26" s="28">
        <v>496</v>
      </c>
      <c r="AZ26" s="135">
        <f>SUM(BA26:BL26)</f>
        <v>6176</v>
      </c>
      <c r="BA26" s="21">
        <v>478</v>
      </c>
      <c r="BB26" s="23">
        <v>536</v>
      </c>
      <c r="BC26" s="23">
        <v>517</v>
      </c>
      <c r="BD26" s="23">
        <v>498</v>
      </c>
      <c r="BE26" s="23">
        <v>486</v>
      </c>
      <c r="BF26" s="23">
        <v>506</v>
      </c>
      <c r="BG26" s="23">
        <v>560</v>
      </c>
      <c r="BH26" s="23">
        <v>516</v>
      </c>
      <c r="BI26" s="23">
        <v>533</v>
      </c>
      <c r="BJ26" s="23">
        <v>521</v>
      </c>
      <c r="BK26" s="23">
        <v>517</v>
      </c>
      <c r="BL26" s="23">
        <v>508</v>
      </c>
      <c r="BM26" s="23">
        <v>492</v>
      </c>
      <c r="BN26" s="23">
        <v>592</v>
      </c>
      <c r="BO26" s="23">
        <v>520</v>
      </c>
      <c r="BP26" s="23">
        <v>555</v>
      </c>
      <c r="BQ26" s="23">
        <v>518</v>
      </c>
      <c r="BR26" s="23">
        <v>543</v>
      </c>
      <c r="BS26" s="23">
        <v>570</v>
      </c>
      <c r="BT26" s="23">
        <v>527</v>
      </c>
      <c r="BU26" s="23">
        <v>562</v>
      </c>
      <c r="BV26" s="23">
        <v>534</v>
      </c>
      <c r="BW26" s="23">
        <v>539</v>
      </c>
      <c r="BX26" s="23">
        <v>532</v>
      </c>
      <c r="BY26" s="104">
        <f>SUM(BM26:BX26)</f>
        <v>6484</v>
      </c>
      <c r="BZ26" s="117">
        <v>518</v>
      </c>
      <c r="CA26" s="23">
        <v>554</v>
      </c>
      <c r="CB26" s="23">
        <v>562</v>
      </c>
      <c r="CC26" s="23">
        <v>543</v>
      </c>
      <c r="CD26" s="19">
        <v>492</v>
      </c>
      <c r="CE26" s="154">
        <v>552</v>
      </c>
      <c r="CF26" s="154">
        <v>589</v>
      </c>
      <c r="CG26" s="154">
        <v>642</v>
      </c>
      <c r="CH26" s="154">
        <v>605</v>
      </c>
      <c r="CI26" s="154">
        <v>580</v>
      </c>
      <c r="CJ26" s="19">
        <v>565</v>
      </c>
      <c r="CK26" s="15">
        <v>559</v>
      </c>
      <c r="CL26" s="311">
        <f>SUM(BZ26:CK26)</f>
        <v>6761</v>
      </c>
      <c r="CM26" s="293">
        <v>529</v>
      </c>
      <c r="CN26" s="294">
        <v>559</v>
      </c>
      <c r="CO26" s="294">
        <v>579</v>
      </c>
      <c r="CP26" s="325">
        <v>554</v>
      </c>
      <c r="CQ26" s="332">
        <v>512</v>
      </c>
      <c r="CR26" s="332">
        <v>549</v>
      </c>
      <c r="CS26" s="332">
        <v>599</v>
      </c>
      <c r="CT26" s="332">
        <v>549</v>
      </c>
      <c r="CU26" s="332">
        <v>589</v>
      </c>
      <c r="CV26" s="332">
        <v>585</v>
      </c>
      <c r="CW26" s="325">
        <v>581</v>
      </c>
      <c r="CX26" s="315">
        <v>569</v>
      </c>
      <c r="CY26" s="311">
        <f>SUM(CM26:CX26)</f>
        <v>6754</v>
      </c>
      <c r="CZ26" s="325">
        <v>550</v>
      </c>
      <c r="DA26" s="325">
        <v>591</v>
      </c>
      <c r="DB26" s="325">
        <v>609</v>
      </c>
      <c r="DC26" s="325">
        <v>581</v>
      </c>
      <c r="DD26" s="325">
        <v>553</v>
      </c>
      <c r="DE26" s="325">
        <v>598</v>
      </c>
      <c r="DF26" s="325">
        <v>621</v>
      </c>
      <c r="DG26" s="325">
        <v>592</v>
      </c>
      <c r="DH26" s="325">
        <v>602</v>
      </c>
      <c r="DI26" s="325">
        <v>623</v>
      </c>
      <c r="DJ26" s="325">
        <v>614</v>
      </c>
      <c r="DK26" s="325">
        <v>609</v>
      </c>
      <c r="DL26" s="311">
        <f>SUM(CZ26:DK26)</f>
        <v>7143</v>
      </c>
      <c r="DM26" s="325">
        <v>560</v>
      </c>
      <c r="DN26" s="325">
        <v>624</v>
      </c>
      <c r="DO26" s="325">
        <v>643</v>
      </c>
      <c r="DP26" s="325">
        <v>624</v>
      </c>
      <c r="DQ26" s="325">
        <v>594</v>
      </c>
      <c r="DR26" s="325">
        <v>656</v>
      </c>
      <c r="DS26" s="325">
        <v>657</v>
      </c>
      <c r="DT26" s="325">
        <v>614</v>
      </c>
      <c r="DU26" s="325">
        <v>658</v>
      </c>
      <c r="DV26" s="325">
        <v>664</v>
      </c>
      <c r="DW26" s="325">
        <v>649</v>
      </c>
      <c r="DX26" s="294">
        <v>624</v>
      </c>
      <c r="DY26" s="402">
        <f>SUM(DM26:DX26)</f>
        <v>7567</v>
      </c>
      <c r="DZ26" s="325">
        <v>612</v>
      </c>
      <c r="EA26" s="325">
        <v>634</v>
      </c>
      <c r="EB26" s="325">
        <v>671</v>
      </c>
      <c r="EC26" s="325">
        <v>668</v>
      </c>
      <c r="ED26" s="325">
        <v>627</v>
      </c>
      <c r="EE26" s="325">
        <v>681</v>
      </c>
      <c r="EF26" s="325">
        <v>743</v>
      </c>
      <c r="EG26" s="325">
        <v>676</v>
      </c>
      <c r="EH26" s="325">
        <v>721</v>
      </c>
      <c r="EI26" s="325">
        <v>701</v>
      </c>
      <c r="EJ26" s="325">
        <v>683</v>
      </c>
      <c r="EK26" s="325">
        <v>635</v>
      </c>
      <c r="EL26" s="402">
        <f>SUM(DZ26:EK26)</f>
        <v>8052</v>
      </c>
      <c r="EM26" s="325">
        <v>562</v>
      </c>
      <c r="EN26" s="325">
        <v>532</v>
      </c>
      <c r="EO26" s="325">
        <v>1614</v>
      </c>
      <c r="EP26" s="325">
        <v>496.46300000000002</v>
      </c>
      <c r="EQ26" s="325">
        <v>454.24900000000002</v>
      </c>
      <c r="ER26" s="325">
        <v>481.10899999999998</v>
      </c>
      <c r="ES26" s="325">
        <v>510.47699999999998</v>
      </c>
      <c r="ET26" s="325">
        <v>472.279</v>
      </c>
      <c r="EU26" s="325">
        <v>510.24200000000002</v>
      </c>
      <c r="EV26" s="325">
        <v>503.74200000000002</v>
      </c>
      <c r="EW26" s="325">
        <v>502.35</v>
      </c>
      <c r="EX26" s="325">
        <v>513.18100000000004</v>
      </c>
      <c r="EY26" s="402">
        <f>SUM(EM26:EX26)</f>
        <v>7152.0920000000024</v>
      </c>
      <c r="EZ26" s="325">
        <v>492.96699999999998</v>
      </c>
      <c r="FA26" s="325">
        <v>526.42100000000005</v>
      </c>
      <c r="FB26" s="325">
        <v>542.63699999999994</v>
      </c>
      <c r="FC26" s="325">
        <v>541.755</v>
      </c>
      <c r="FD26" s="325">
        <v>510.21300000000002</v>
      </c>
      <c r="FE26" s="325">
        <v>575.30700000000002</v>
      </c>
      <c r="FF26" s="325">
        <v>617.54999999999995</v>
      </c>
      <c r="FG26" s="325">
        <v>577.11699999999996</v>
      </c>
      <c r="FH26" s="325">
        <v>624.49400000000003</v>
      </c>
      <c r="FI26" s="325">
        <v>622.28099999999995</v>
      </c>
      <c r="FJ26" s="325">
        <v>592.35199999999998</v>
      </c>
      <c r="FK26" s="325">
        <v>579.03</v>
      </c>
      <c r="FL26" s="402">
        <f>SUM(EZ26:FK26)</f>
        <v>6802.1239999999998</v>
      </c>
      <c r="FM26" s="325">
        <v>555.18899999999996</v>
      </c>
      <c r="FN26" s="325">
        <v>589.04999999999995</v>
      </c>
      <c r="FO26" s="325">
        <v>586.58900000000006</v>
      </c>
      <c r="FP26" s="325">
        <v>554.97900000000004</v>
      </c>
      <c r="FQ26" s="325">
        <v>526.13</v>
      </c>
      <c r="FR26" s="325">
        <v>589.15700000000004</v>
      </c>
      <c r="FS26" s="325">
        <v>633.976</v>
      </c>
      <c r="FT26" s="325">
        <v>613.30600000000004</v>
      </c>
      <c r="FU26" s="325">
        <v>717.94</v>
      </c>
      <c r="FV26" s="325">
        <v>671.24800000000005</v>
      </c>
      <c r="FW26" s="325">
        <v>674.70100000000002</v>
      </c>
      <c r="FX26" s="325">
        <v>661.18100000000004</v>
      </c>
      <c r="FY26" s="402">
        <f>SUM(FM26:FX26)</f>
        <v>7373.4459999999999</v>
      </c>
      <c r="FZ26" s="325">
        <v>622.87699999999995</v>
      </c>
      <c r="GA26" s="325">
        <v>699.46100000000001</v>
      </c>
      <c r="GB26" s="325">
        <v>692.93899999999996</v>
      </c>
      <c r="GC26" s="325">
        <v>672.52099999999996</v>
      </c>
      <c r="GD26" s="325">
        <v>634.95600000000002</v>
      </c>
      <c r="GE26" s="325">
        <v>690.83100000000002</v>
      </c>
      <c r="GF26" s="325">
        <v>717.12400000000002</v>
      </c>
      <c r="GG26" s="325">
        <v>665.52099999999996</v>
      </c>
      <c r="GH26" s="325">
        <v>707.56799999999998</v>
      </c>
      <c r="GI26" s="325">
        <v>683.36199999999997</v>
      </c>
      <c r="GJ26" s="325">
        <v>666.64300000000003</v>
      </c>
      <c r="GK26" s="325">
        <v>639.66800000000001</v>
      </c>
      <c r="GL26" s="402">
        <f>SUM(FZ26:GK26)</f>
        <v>8093.4709999999995</v>
      </c>
      <c r="GM26" s="325">
        <v>857.33699999999999</v>
      </c>
      <c r="GN26" s="325">
        <v>705.27300000000002</v>
      </c>
      <c r="GO26" s="325">
        <v>716.04499999999996</v>
      </c>
      <c r="GP26" s="325">
        <v>735.18700000000001</v>
      </c>
      <c r="GQ26" s="325">
        <v>738.45500000000004</v>
      </c>
      <c r="GR26" s="325">
        <v>811.65599999999995</v>
      </c>
      <c r="GS26" s="325">
        <v>880.47799999999995</v>
      </c>
      <c r="GT26" s="325">
        <v>808.61699999999996</v>
      </c>
      <c r="GU26" s="325">
        <v>876.45399999999995</v>
      </c>
      <c r="GV26" s="325">
        <v>869.22400000000005</v>
      </c>
      <c r="GW26" s="325">
        <v>853.31799999999998</v>
      </c>
      <c r="GX26" s="325">
        <v>825.28599999999994</v>
      </c>
      <c r="GY26" s="402">
        <f>SUM(GM26:GX26)</f>
        <v>9677.33</v>
      </c>
      <c r="GZ26" s="325">
        <v>793.50400000000002</v>
      </c>
      <c r="HA26" s="325">
        <v>814.04300000000001</v>
      </c>
      <c r="HB26" s="325">
        <v>861.048</v>
      </c>
      <c r="HC26" s="325">
        <v>886.32100000000003</v>
      </c>
      <c r="HD26" s="325">
        <v>871.61</v>
      </c>
      <c r="HE26" s="325">
        <v>938.02300000000002</v>
      </c>
      <c r="HF26" s="325">
        <v>974.48099999999999</v>
      </c>
      <c r="HG26" s="325">
        <v>901.78599999999994</v>
      </c>
      <c r="HH26" s="325">
        <v>948.64499999999998</v>
      </c>
      <c r="HI26" s="325">
        <v>931.07799999999997</v>
      </c>
      <c r="HJ26" s="325">
        <v>901.279</v>
      </c>
      <c r="HK26" s="325">
        <v>874.08900000000006</v>
      </c>
      <c r="HL26" s="402">
        <f>SUM(GZ26:HK26)</f>
        <v>10695.906999999999</v>
      </c>
      <c r="HM26" s="325">
        <v>870.61900000000003</v>
      </c>
      <c r="HN26" s="325">
        <v>901.47199999999998</v>
      </c>
      <c r="HO26" s="325">
        <v>935.92</v>
      </c>
      <c r="HP26" s="325">
        <v>939.33699999999999</v>
      </c>
      <c r="HQ26" s="294">
        <v>825.346</v>
      </c>
      <c r="HR26" s="441">
        <v>893.96699999999998</v>
      </c>
      <c r="HS26" s="447">
        <v>888.29899999999998</v>
      </c>
      <c r="HT26" s="452">
        <v>765.84</v>
      </c>
      <c r="HU26" s="452">
        <v>809.15200000000004</v>
      </c>
      <c r="HV26" s="452">
        <v>796.39300000000003</v>
      </c>
      <c r="HW26" s="452">
        <v>791.11400000000003</v>
      </c>
      <c r="HX26" s="452">
        <v>763.9</v>
      </c>
      <c r="HY26" s="481">
        <f>SUM(HM26:HX26)</f>
        <v>10181.358999999999</v>
      </c>
      <c r="HZ26" s="467">
        <v>763359</v>
      </c>
      <c r="IA26" s="467">
        <v>794678</v>
      </c>
      <c r="IB26" s="467">
        <v>800022</v>
      </c>
      <c r="IC26" s="467">
        <v>769297</v>
      </c>
      <c r="ID26" s="467">
        <v>718860</v>
      </c>
      <c r="IE26" s="467">
        <v>749919</v>
      </c>
      <c r="IF26" s="467">
        <v>762705</v>
      </c>
      <c r="IG26" s="467">
        <v>689350</v>
      </c>
      <c r="IH26" s="467">
        <v>747447</v>
      </c>
      <c r="II26" s="467">
        <v>717767</v>
      </c>
      <c r="IJ26" s="467">
        <v>717757</v>
      </c>
      <c r="IK26" s="467">
        <v>703065</v>
      </c>
      <c r="IL26" s="468">
        <f>SUM(HZ26:IK26)</f>
        <v>8934226</v>
      </c>
      <c r="IM26" s="467">
        <v>682235</v>
      </c>
      <c r="IN26" s="467">
        <v>709417</v>
      </c>
      <c r="IO26" s="467">
        <v>764182</v>
      </c>
      <c r="IP26" s="467">
        <v>735857</v>
      </c>
      <c r="IQ26" s="467">
        <v>708315</v>
      </c>
      <c r="IR26" s="467">
        <v>783662</v>
      </c>
      <c r="IS26" s="467">
        <v>841263</v>
      </c>
      <c r="IT26" s="467">
        <v>759652</v>
      </c>
      <c r="IU26" s="467">
        <v>807813</v>
      </c>
      <c r="IV26" s="467">
        <v>800212</v>
      </c>
      <c r="IW26" s="467">
        <v>799191</v>
      </c>
      <c r="IX26" s="467">
        <v>775454</v>
      </c>
      <c r="IY26" s="468">
        <f>SUM(IM26:IX26)</f>
        <v>9167253</v>
      </c>
      <c r="IZ26" s="467">
        <v>733437</v>
      </c>
      <c r="JA26" s="467">
        <v>757147</v>
      </c>
      <c r="JB26" s="467">
        <v>816510</v>
      </c>
      <c r="JC26" s="467">
        <v>767799</v>
      </c>
      <c r="JD26" s="467">
        <v>744352</v>
      </c>
      <c r="JE26" s="467">
        <v>842966</v>
      </c>
      <c r="JF26" s="520">
        <v>848</v>
      </c>
      <c r="JG26" s="484">
        <v>782473</v>
      </c>
      <c r="JH26" s="484">
        <v>838037</v>
      </c>
      <c r="JI26" s="484">
        <v>831535</v>
      </c>
      <c r="JJ26" s="484">
        <v>836570</v>
      </c>
      <c r="JK26" s="484">
        <v>798231</v>
      </c>
      <c r="JL26" s="529">
        <v>9597</v>
      </c>
      <c r="JM26" s="467">
        <v>780092.62899999996</v>
      </c>
      <c r="JN26" s="573">
        <v>828</v>
      </c>
    </row>
    <row r="27" spans="1:274" ht="14.25" thickBot="1" x14ac:dyDescent="0.2">
      <c r="A27" s="557"/>
      <c r="B27" s="36" t="s">
        <v>77</v>
      </c>
      <c r="C27" s="30"/>
      <c r="D27" s="31">
        <f t="shared" ref="D27:N27" si="176">(D26/C26-1)*100</f>
        <v>3.5015593989226046</v>
      </c>
      <c r="E27" s="32">
        <f t="shared" si="176"/>
        <v>-2.9037118202985934</v>
      </c>
      <c r="F27" s="31">
        <f t="shared" si="176"/>
        <v>-4.4011849344054221</v>
      </c>
      <c r="G27" s="32">
        <f t="shared" si="176"/>
        <v>-1.7854507894348504</v>
      </c>
      <c r="H27" s="31">
        <f t="shared" si="176"/>
        <v>-2.3737980769230727</v>
      </c>
      <c r="I27" s="32">
        <f t="shared" si="176"/>
        <v>3.2933210218528686</v>
      </c>
      <c r="J27" s="31">
        <f t="shared" si="176"/>
        <v>1.0429082240762888</v>
      </c>
      <c r="K27" s="32">
        <f t="shared" si="176"/>
        <v>-0.41285756414036756</v>
      </c>
      <c r="L27" s="31">
        <f t="shared" si="176"/>
        <v>-4.5750666271838885</v>
      </c>
      <c r="M27" s="32">
        <f t="shared" si="176"/>
        <v>0.99301784328937881</v>
      </c>
      <c r="N27" s="32">
        <f t="shared" si="176"/>
        <v>-2.3198648025810398</v>
      </c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2">
        <f t="shared" ref="AA27:AL27" si="177">(AA26/O26-1)*100</f>
        <v>0.83507306889352151</v>
      </c>
      <c r="AB27" s="32">
        <f t="shared" si="177"/>
        <v>-35.922330097087375</v>
      </c>
      <c r="AC27" s="32">
        <f t="shared" si="177"/>
        <v>3.0188679245283012</v>
      </c>
      <c r="AD27" s="32">
        <f t="shared" si="177"/>
        <v>5.9055118110236116</v>
      </c>
      <c r="AE27" s="32">
        <f t="shared" si="177"/>
        <v>0.84033613445377853</v>
      </c>
      <c r="AF27" s="32">
        <f t="shared" si="177"/>
        <v>5.6640625</v>
      </c>
      <c r="AG27" s="32">
        <f t="shared" si="177"/>
        <v>4.1509433962264142</v>
      </c>
      <c r="AH27" s="32">
        <f t="shared" si="177"/>
        <v>6.3366336633663423</v>
      </c>
      <c r="AI27" s="32">
        <f t="shared" si="177"/>
        <v>-0.35460992907800915</v>
      </c>
      <c r="AJ27" s="32">
        <f t="shared" si="177"/>
        <v>1.5037593984962516</v>
      </c>
      <c r="AK27" s="32">
        <f t="shared" si="177"/>
        <v>-0.56925996204933993</v>
      </c>
      <c r="AL27" s="89">
        <f t="shared" si="177"/>
        <v>0.95785440613027628</v>
      </c>
      <c r="AM27" s="32">
        <f>(AM26/N26-1)*100</f>
        <v>-2.4064171122994638</v>
      </c>
      <c r="AN27" s="114">
        <f t="shared" ref="AN27:AY27" si="178">(AN26/AA26-1)*100</f>
        <v>3.9337474120082705</v>
      </c>
      <c r="AO27" s="32">
        <f t="shared" si="178"/>
        <v>0.94696969696970168</v>
      </c>
      <c r="AP27" s="89">
        <f t="shared" si="178"/>
        <v>-3.4798534798534786</v>
      </c>
      <c r="AQ27" s="32">
        <f t="shared" si="178"/>
        <v>-3.7174721189591087</v>
      </c>
      <c r="AR27" s="32">
        <f t="shared" si="178"/>
        <v>1.2499999999999956</v>
      </c>
      <c r="AS27" s="31">
        <f t="shared" si="178"/>
        <v>-6.2846580406654358</v>
      </c>
      <c r="AT27" s="32">
        <f t="shared" si="178"/>
        <v>0</v>
      </c>
      <c r="AU27" s="31">
        <f t="shared" si="178"/>
        <v>-2.7932960893854775</v>
      </c>
      <c r="AV27" s="32">
        <f t="shared" si="178"/>
        <v>-5.3380782918149521</v>
      </c>
      <c r="AW27" s="31">
        <f t="shared" si="178"/>
        <v>-1.1111111111111072</v>
      </c>
      <c r="AX27" s="32">
        <f t="shared" si="178"/>
        <v>-5.3435114503816772</v>
      </c>
      <c r="AY27" s="31">
        <f t="shared" si="178"/>
        <v>-5.8823529411764719</v>
      </c>
      <c r="AZ27" s="107">
        <f t="shared" ref="AZ27:BL27" si="179">(AZ26/AM26-1)*100</f>
        <v>-0.46736502820305947</v>
      </c>
      <c r="BA27" s="124">
        <f t="shared" si="179"/>
        <v>-4.7808764940239001</v>
      </c>
      <c r="BB27" s="32">
        <f t="shared" si="179"/>
        <v>0.56285178236397115</v>
      </c>
      <c r="BC27" s="32">
        <f t="shared" si="179"/>
        <v>-1.8975332068311146</v>
      </c>
      <c r="BD27" s="32">
        <f t="shared" si="179"/>
        <v>-3.8610038610038644</v>
      </c>
      <c r="BE27" s="32">
        <f t="shared" si="179"/>
        <v>0</v>
      </c>
      <c r="BF27" s="32">
        <f t="shared" si="179"/>
        <v>-0.19723865877712132</v>
      </c>
      <c r="BG27" s="32">
        <f t="shared" si="179"/>
        <v>1.449275362318847</v>
      </c>
      <c r="BH27" s="32">
        <f t="shared" si="179"/>
        <v>-1.1494252873563204</v>
      </c>
      <c r="BI27" s="32">
        <f t="shared" si="179"/>
        <v>0.1879699248120259</v>
      </c>
      <c r="BJ27" s="32">
        <f t="shared" si="179"/>
        <v>-2.4344569288389462</v>
      </c>
      <c r="BK27" s="32">
        <f t="shared" si="179"/>
        <v>4.2338709677419262</v>
      </c>
      <c r="BL27" s="32">
        <f t="shared" si="179"/>
        <v>2.4193548387096753</v>
      </c>
      <c r="BM27" s="32">
        <f t="shared" ref="BM27:BX27" si="180">(BM26/BA26-1)*100</f>
        <v>2.9288702928870203</v>
      </c>
      <c r="BN27" s="32">
        <f t="shared" si="180"/>
        <v>10.447761194029859</v>
      </c>
      <c r="BO27" s="32">
        <f t="shared" si="180"/>
        <v>0.58027079303675233</v>
      </c>
      <c r="BP27" s="32">
        <f t="shared" si="180"/>
        <v>11.44578313253013</v>
      </c>
      <c r="BQ27" s="32">
        <f t="shared" si="180"/>
        <v>6.5843621399176877</v>
      </c>
      <c r="BR27" s="32">
        <f t="shared" si="180"/>
        <v>7.3122529644268797</v>
      </c>
      <c r="BS27" s="32">
        <f t="shared" si="180"/>
        <v>1.7857142857142794</v>
      </c>
      <c r="BT27" s="32">
        <f t="shared" si="180"/>
        <v>2.1317829457364379</v>
      </c>
      <c r="BU27" s="32">
        <f t="shared" si="180"/>
        <v>5.4409005628517804</v>
      </c>
      <c r="BV27" s="32">
        <f t="shared" si="180"/>
        <v>2.4952015355086399</v>
      </c>
      <c r="BW27" s="32">
        <f t="shared" si="180"/>
        <v>4.2553191489361764</v>
      </c>
      <c r="BX27" s="32">
        <f t="shared" si="180"/>
        <v>4.7244094488188892</v>
      </c>
      <c r="BY27" s="107">
        <f>(BY26/AZ26-1)*100</f>
        <v>4.9870466321243478</v>
      </c>
      <c r="BZ27" s="114">
        <f t="shared" ref="BZ27:DE27" si="181">(BZ26/BM26-1)*100</f>
        <v>5.2845528455284452</v>
      </c>
      <c r="CA27" s="32">
        <f t="shared" si="181"/>
        <v>-6.418918918918914</v>
      </c>
      <c r="CB27" s="32">
        <f t="shared" si="181"/>
        <v>8.0769230769230695</v>
      </c>
      <c r="CC27" s="32">
        <f t="shared" si="181"/>
        <v>-2.1621621621621623</v>
      </c>
      <c r="CD27" s="32">
        <f t="shared" si="181"/>
        <v>-5.0193050193050208</v>
      </c>
      <c r="CE27" s="89">
        <f t="shared" si="181"/>
        <v>1.6574585635359185</v>
      </c>
      <c r="CF27" s="89">
        <f t="shared" si="181"/>
        <v>3.3333333333333437</v>
      </c>
      <c r="CG27" s="89">
        <f t="shared" si="181"/>
        <v>21.821631878557881</v>
      </c>
      <c r="CH27" s="89">
        <f t="shared" si="181"/>
        <v>7.6512455516014155</v>
      </c>
      <c r="CI27" s="89">
        <f t="shared" si="181"/>
        <v>8.6142322097378266</v>
      </c>
      <c r="CJ27" s="32">
        <f t="shared" si="181"/>
        <v>4.8237476808905333</v>
      </c>
      <c r="CK27" s="107">
        <f t="shared" si="181"/>
        <v>5.0751879699248104</v>
      </c>
      <c r="CL27" s="107">
        <f t="shared" si="181"/>
        <v>4.2720542874768563</v>
      </c>
      <c r="CM27" s="287">
        <f t="shared" si="181"/>
        <v>2.1235521235521304</v>
      </c>
      <c r="CN27" s="288">
        <f t="shared" si="181"/>
        <v>0.90252707581226499</v>
      </c>
      <c r="CO27" s="288">
        <f t="shared" si="181"/>
        <v>3.0249110320284656</v>
      </c>
      <c r="CP27" s="326">
        <f t="shared" si="181"/>
        <v>2.0257826887661201</v>
      </c>
      <c r="CQ27" s="333">
        <f t="shared" si="181"/>
        <v>4.0650406504065151</v>
      </c>
      <c r="CR27" s="333">
        <f t="shared" si="181"/>
        <v>-0.54347826086956763</v>
      </c>
      <c r="CS27" s="333">
        <f t="shared" si="181"/>
        <v>1.6977928692699429</v>
      </c>
      <c r="CT27" s="333">
        <f t="shared" si="181"/>
        <v>-14.485981308411212</v>
      </c>
      <c r="CU27" s="333">
        <f t="shared" si="181"/>
        <v>-2.6446280991735516</v>
      </c>
      <c r="CV27" s="333">
        <f t="shared" si="181"/>
        <v>0.86206896551723755</v>
      </c>
      <c r="CW27" s="326">
        <f t="shared" si="181"/>
        <v>2.831858407079646</v>
      </c>
      <c r="CX27" s="316">
        <f t="shared" si="181"/>
        <v>1.7889087656529412</v>
      </c>
      <c r="CY27" s="107">
        <f t="shared" si="181"/>
        <v>-0.10353498003253803</v>
      </c>
      <c r="CZ27" s="326">
        <f t="shared" si="181"/>
        <v>3.969754253308122</v>
      </c>
      <c r="DA27" s="326">
        <f t="shared" si="181"/>
        <v>5.7245080500894385</v>
      </c>
      <c r="DB27" s="326">
        <f t="shared" si="181"/>
        <v>5.1813471502590636</v>
      </c>
      <c r="DC27" s="326">
        <f t="shared" si="181"/>
        <v>4.8736462093862842</v>
      </c>
      <c r="DD27" s="326">
        <f t="shared" si="181"/>
        <v>8.0078125</v>
      </c>
      <c r="DE27" s="326">
        <f t="shared" si="181"/>
        <v>8.9253187613843377</v>
      </c>
      <c r="DF27" s="326">
        <f>(DF26/CS26-1)*100</f>
        <v>3.6727879799666185</v>
      </c>
      <c r="DG27" s="326">
        <f>(DG26/CT26-1)*100</f>
        <v>7.8324225865209485</v>
      </c>
      <c r="DH27" s="326">
        <f>(DH26/CT26-1)*100</f>
        <v>9.6539162112932573</v>
      </c>
      <c r="DI27" s="326">
        <f>(DI26/CU26-1)*100</f>
        <v>5.7724957555178369</v>
      </c>
      <c r="DJ27" s="326">
        <f>(DJ26/CV26-1)*100</f>
        <v>4.9572649572649619</v>
      </c>
      <c r="DK27" s="326">
        <f>(DK26/CW26-1)*100</f>
        <v>4.8192771084337283</v>
      </c>
      <c r="DL27" s="107">
        <f t="shared" ref="DL27:EL27" si="182">(DL26/CY26-1)*100</f>
        <v>5.7595498963577185</v>
      </c>
      <c r="DM27" s="326">
        <f t="shared" si="182"/>
        <v>1.8181818181818077</v>
      </c>
      <c r="DN27" s="326">
        <f t="shared" si="182"/>
        <v>5.5837563451776706</v>
      </c>
      <c r="DO27" s="326">
        <f t="shared" si="182"/>
        <v>5.5829228243021278</v>
      </c>
      <c r="DP27" s="326">
        <f t="shared" si="182"/>
        <v>7.4010327022375311</v>
      </c>
      <c r="DQ27" s="326">
        <f t="shared" si="182"/>
        <v>7.4141048824593048</v>
      </c>
      <c r="DR27" s="326">
        <f t="shared" si="182"/>
        <v>9.6989966555183891</v>
      </c>
      <c r="DS27" s="326">
        <f t="shared" si="182"/>
        <v>5.7971014492753659</v>
      </c>
      <c r="DT27" s="326">
        <f t="shared" si="182"/>
        <v>3.716216216216206</v>
      </c>
      <c r="DU27" s="326">
        <f t="shared" si="182"/>
        <v>9.302325581395344</v>
      </c>
      <c r="DV27" s="326">
        <f t="shared" si="182"/>
        <v>6.5810593900481607</v>
      </c>
      <c r="DW27" s="326">
        <f t="shared" si="182"/>
        <v>5.7003257328990253</v>
      </c>
      <c r="DX27" s="288">
        <f t="shared" si="182"/>
        <v>2.4630541871921263</v>
      </c>
      <c r="DY27" s="403">
        <f t="shared" si="182"/>
        <v>5.9358812823743445</v>
      </c>
      <c r="DZ27" s="326">
        <f t="shared" si="182"/>
        <v>9.285714285714274</v>
      </c>
      <c r="EA27" s="326">
        <f t="shared" si="182"/>
        <v>1.6025641025640969</v>
      </c>
      <c r="EB27" s="326">
        <f t="shared" si="182"/>
        <v>4.3545878693623585</v>
      </c>
      <c r="EC27" s="326">
        <f t="shared" si="182"/>
        <v>7.0512820512820484</v>
      </c>
      <c r="ED27" s="326">
        <f t="shared" si="182"/>
        <v>5.555555555555558</v>
      </c>
      <c r="EE27" s="326">
        <f t="shared" si="182"/>
        <v>3.8109756097560954</v>
      </c>
      <c r="EF27" s="326">
        <f t="shared" si="182"/>
        <v>13.089802130898033</v>
      </c>
      <c r="EG27" s="326">
        <f t="shared" si="182"/>
        <v>10.097719869706845</v>
      </c>
      <c r="EH27" s="326">
        <f t="shared" si="182"/>
        <v>9.5744680851063801</v>
      </c>
      <c r="EI27" s="326">
        <f t="shared" si="182"/>
        <v>5.5722891566265087</v>
      </c>
      <c r="EJ27" s="326">
        <f t="shared" si="182"/>
        <v>5.238828967642517</v>
      </c>
      <c r="EK27" s="326">
        <f t="shared" si="182"/>
        <v>1.7628205128205066</v>
      </c>
      <c r="EL27" s="403">
        <f t="shared" si="182"/>
        <v>6.4094092771243449</v>
      </c>
      <c r="EM27" s="326">
        <f t="shared" ref="EM27:EX27" si="183">(EM26/DZ26-1)*100</f>
        <v>-8.1699346405228805</v>
      </c>
      <c r="EN27" s="326">
        <f t="shared" si="183"/>
        <v>-16.088328075709779</v>
      </c>
      <c r="EO27" s="326">
        <f t="shared" si="183"/>
        <v>140.53651266766022</v>
      </c>
      <c r="EP27" s="326">
        <f t="shared" si="183"/>
        <v>-25.67919161676646</v>
      </c>
      <c r="EQ27" s="326">
        <f t="shared" si="183"/>
        <v>-27.55199362041467</v>
      </c>
      <c r="ER27" s="326">
        <f t="shared" si="183"/>
        <v>-29.35256975036711</v>
      </c>
      <c r="ES27" s="326">
        <f t="shared" si="183"/>
        <v>-31.295154777927326</v>
      </c>
      <c r="ET27" s="326">
        <f t="shared" si="183"/>
        <v>-30.136242603550301</v>
      </c>
      <c r="EU27" s="326">
        <f t="shared" si="183"/>
        <v>-29.231345353675454</v>
      </c>
      <c r="EV27" s="326">
        <f t="shared" si="183"/>
        <v>-28.139514978601998</v>
      </c>
      <c r="EW27" s="326">
        <f t="shared" si="183"/>
        <v>-26.449487554904827</v>
      </c>
      <c r="EX27" s="326">
        <f t="shared" si="183"/>
        <v>-19.184094488188975</v>
      </c>
      <c r="EY27" s="403">
        <f t="shared" ref="EY27:FL27" si="184">(EY26/EL26-1)*100</f>
        <v>-11.176204669647261</v>
      </c>
      <c r="EZ27" s="326">
        <f t="shared" si="184"/>
        <v>-12.283451957295377</v>
      </c>
      <c r="FA27" s="326">
        <f t="shared" si="184"/>
        <v>-1.0486842105263072</v>
      </c>
      <c r="FB27" s="326">
        <f t="shared" si="184"/>
        <v>-66.37936802973978</v>
      </c>
      <c r="FC27" s="326">
        <f t="shared" si="184"/>
        <v>9.1229356467652067</v>
      </c>
      <c r="FD27" s="326">
        <f t="shared" si="184"/>
        <v>12.320115179119817</v>
      </c>
      <c r="FE27" s="326">
        <f t="shared" si="184"/>
        <v>19.57934688397016</v>
      </c>
      <c r="FF27" s="326">
        <f t="shared" si="184"/>
        <v>20.975088005923869</v>
      </c>
      <c r="FG27" s="326">
        <f t="shared" si="184"/>
        <v>22.198319213854511</v>
      </c>
      <c r="FH27" s="326">
        <f t="shared" si="184"/>
        <v>22.391727846786424</v>
      </c>
      <c r="FI27" s="326">
        <f t="shared" si="184"/>
        <v>23.531688840716058</v>
      </c>
      <c r="FJ27" s="326">
        <f t="shared" si="184"/>
        <v>17.916193888722987</v>
      </c>
      <c r="FK27" s="326">
        <f t="shared" si="184"/>
        <v>12.831535072420831</v>
      </c>
      <c r="FL27" s="403">
        <f t="shared" si="184"/>
        <v>-4.8932256464262807</v>
      </c>
      <c r="FM27" s="326">
        <f t="shared" ref="FM27:FX27" si="185">(FM26/EZ26-1)*100</f>
        <v>12.621940211008042</v>
      </c>
      <c r="FN27" s="326">
        <f t="shared" si="185"/>
        <v>11.897131763360491</v>
      </c>
      <c r="FO27" s="326">
        <f t="shared" si="185"/>
        <v>8.0997056964416494</v>
      </c>
      <c r="FP27" s="326">
        <f t="shared" si="185"/>
        <v>2.4409557825954664</v>
      </c>
      <c r="FQ27" s="326">
        <f t="shared" si="185"/>
        <v>3.1196774680378514</v>
      </c>
      <c r="FR27" s="326">
        <f t="shared" si="185"/>
        <v>2.4074103044113837</v>
      </c>
      <c r="FS27" s="326">
        <f t="shared" si="185"/>
        <v>2.6598655979273023</v>
      </c>
      <c r="FT27" s="326">
        <f t="shared" si="185"/>
        <v>6.2706522247655272</v>
      </c>
      <c r="FU27" s="326">
        <f t="shared" si="185"/>
        <v>14.96347442889765</v>
      </c>
      <c r="FV27" s="326">
        <f t="shared" si="185"/>
        <v>7.8689530935381446</v>
      </c>
      <c r="FW27" s="326">
        <f t="shared" si="185"/>
        <v>13.902037977418846</v>
      </c>
      <c r="FX27" s="326">
        <f t="shared" si="185"/>
        <v>14.187693211059882</v>
      </c>
      <c r="FY27" s="403">
        <f t="shared" ref="FY27:HY27" si="186">(FY26/FL26-1)*100</f>
        <v>8.3991706120029477</v>
      </c>
      <c r="FZ27" s="326">
        <f t="shared" si="186"/>
        <v>12.191884205198589</v>
      </c>
      <c r="GA27" s="326">
        <f t="shared" si="186"/>
        <v>18.74390968508617</v>
      </c>
      <c r="GB27" s="326">
        <f t="shared" si="186"/>
        <v>18.130241105782741</v>
      </c>
      <c r="GC27" s="326">
        <f t="shared" si="186"/>
        <v>21.179540126743525</v>
      </c>
      <c r="GD27" s="326">
        <f t="shared" si="186"/>
        <v>20.68424153726265</v>
      </c>
      <c r="GE27" s="326">
        <f t="shared" si="186"/>
        <v>17.257539161887237</v>
      </c>
      <c r="GF27" s="326">
        <f t="shared" si="186"/>
        <v>13.115322977525956</v>
      </c>
      <c r="GG27" s="326">
        <f t="shared" si="186"/>
        <v>8.513694632043368</v>
      </c>
      <c r="GH27" s="326">
        <f t="shared" si="186"/>
        <v>-1.4446889712232291</v>
      </c>
      <c r="GI27" s="326">
        <f t="shared" si="186"/>
        <v>1.8046981145567464</v>
      </c>
      <c r="GJ27" s="326">
        <f t="shared" si="186"/>
        <v>-1.1943068114616651</v>
      </c>
      <c r="GK27" s="326">
        <f t="shared" si="186"/>
        <v>-3.2537232618602197</v>
      </c>
      <c r="GL27" s="403">
        <f t="shared" si="186"/>
        <v>9.7651084716698264</v>
      </c>
      <c r="GM27" s="326">
        <f t="shared" si="186"/>
        <v>37.641460513070804</v>
      </c>
      <c r="GN27" s="326">
        <f t="shared" si="186"/>
        <v>0.83092552694146171</v>
      </c>
      <c r="GO27" s="326">
        <f t="shared" si="186"/>
        <v>3.3344926465388669</v>
      </c>
      <c r="GP27" s="326">
        <f t="shared" si="186"/>
        <v>9.3180733389738091</v>
      </c>
      <c r="GQ27" s="326">
        <f t="shared" si="186"/>
        <v>16.300184579718913</v>
      </c>
      <c r="GR27" s="326">
        <f t="shared" si="186"/>
        <v>17.489805755676848</v>
      </c>
      <c r="GS27" s="326">
        <f t="shared" si="186"/>
        <v>22.779045186048698</v>
      </c>
      <c r="GT27" s="326">
        <f t="shared" si="186"/>
        <v>21.501350070095459</v>
      </c>
      <c r="GU27" s="326">
        <f t="shared" si="186"/>
        <v>23.868518644144455</v>
      </c>
      <c r="GV27" s="326">
        <f t="shared" si="186"/>
        <v>27.198176076515821</v>
      </c>
      <c r="GW27" s="326">
        <f t="shared" si="186"/>
        <v>28.002244079664827</v>
      </c>
      <c r="GX27" s="326">
        <f t="shared" si="186"/>
        <v>29.017865517737306</v>
      </c>
      <c r="GY27" s="403">
        <f t="shared" si="186"/>
        <v>19.569588869843368</v>
      </c>
      <c r="GZ27" s="326">
        <f t="shared" si="186"/>
        <v>-7.4454969282790717</v>
      </c>
      <c r="HA27" s="326">
        <f t="shared" si="186"/>
        <v>15.422396717299547</v>
      </c>
      <c r="HB27" s="326">
        <f t="shared" si="186"/>
        <v>20.25054291280577</v>
      </c>
      <c r="HC27" s="326">
        <f t="shared" si="186"/>
        <v>20.557218775631235</v>
      </c>
      <c r="HD27" s="326">
        <f t="shared" si="186"/>
        <v>18.031565904489778</v>
      </c>
      <c r="HE27" s="326">
        <f t="shared" si="186"/>
        <v>15.569034172112328</v>
      </c>
      <c r="HF27" s="326">
        <f t="shared" si="186"/>
        <v>10.676359886334463</v>
      </c>
      <c r="HG27" s="326">
        <f t="shared" si="186"/>
        <v>11.522018458676975</v>
      </c>
      <c r="HH27" s="326">
        <f t="shared" si="186"/>
        <v>8.2367129364461888</v>
      </c>
      <c r="HI27" s="326">
        <f t="shared" si="186"/>
        <v>7.1160023193100885</v>
      </c>
      <c r="HJ27" s="326">
        <f t="shared" si="186"/>
        <v>5.6205306814106848</v>
      </c>
      <c r="HK27" s="326">
        <f t="shared" si="186"/>
        <v>5.9134651502630753</v>
      </c>
      <c r="HL27" s="403">
        <f t="shared" si="186"/>
        <v>10.525392851127325</v>
      </c>
      <c r="HM27" s="326">
        <f t="shared" si="186"/>
        <v>9.7182874944549802</v>
      </c>
      <c r="HN27" s="326">
        <f t="shared" si="186"/>
        <v>10.740096039152714</v>
      </c>
      <c r="HO27" s="326">
        <f t="shared" si="186"/>
        <v>8.6954501955756278</v>
      </c>
      <c r="HP27" s="326">
        <f t="shared" si="186"/>
        <v>5.9815800370294658</v>
      </c>
      <c r="HQ27" s="288">
        <f t="shared" si="186"/>
        <v>-5.3078785236516328</v>
      </c>
      <c r="HR27" s="442">
        <f t="shared" si="186"/>
        <v>-4.6966865418012205</v>
      </c>
      <c r="HS27" s="448">
        <f t="shared" si="186"/>
        <v>-8.8438871563427117</v>
      </c>
      <c r="HT27" s="448">
        <f t="shared" si="186"/>
        <v>-15.075195223700511</v>
      </c>
      <c r="HU27" s="448">
        <f t="shared" si="186"/>
        <v>-14.704446868955189</v>
      </c>
      <c r="HV27" s="448">
        <f t="shared" si="186"/>
        <v>-14.465490538923698</v>
      </c>
      <c r="HW27" s="448">
        <f t="shared" si="186"/>
        <v>-12.223185051465746</v>
      </c>
      <c r="HX27" s="448">
        <f t="shared" si="186"/>
        <v>-12.606153377974106</v>
      </c>
      <c r="HY27" s="482">
        <f t="shared" si="186"/>
        <v>-4.8107000182406328</v>
      </c>
      <c r="HZ27" s="448">
        <f>(763/871-1)*100</f>
        <v>-12.399540757749715</v>
      </c>
      <c r="IA27" s="448">
        <f>(795/901-1)*100</f>
        <v>-11.764705882352944</v>
      </c>
      <c r="IB27" s="448">
        <f>(800/HO26-1)*100</f>
        <v>-14.522608769980339</v>
      </c>
      <c r="IC27" s="448">
        <f>(769/HP26-1)*100</f>
        <v>-18.133747526180699</v>
      </c>
      <c r="ID27" s="448">
        <f>(719/HQ26-1)*100</f>
        <v>-12.885020342983433</v>
      </c>
      <c r="IE27" s="448">
        <f>(750/HR26-1)*100</f>
        <v>-16.104285728667833</v>
      </c>
      <c r="IF27" s="448">
        <f>(763/HS26-1)*100</f>
        <v>-14.105498261283644</v>
      </c>
      <c r="IG27" s="448">
        <f>(689/HT26-1)*100</f>
        <v>-10.03342734774888</v>
      </c>
      <c r="IH27" s="448">
        <f>(747/HU26-1)*100</f>
        <v>-7.6811278968599295</v>
      </c>
      <c r="II27" s="448">
        <f>(718/HV26-1)*100</f>
        <v>-9.8435069117885234</v>
      </c>
      <c r="IJ27" s="448">
        <f>(718/HW26-1)*100</f>
        <v>-9.2419044537196964</v>
      </c>
      <c r="IK27" s="448">
        <f>(703/HX26-1)*100</f>
        <v>-7.9722476763974264</v>
      </c>
      <c r="IL27" s="482">
        <f>(8934/HY26-1)*100</f>
        <v>-12.25139983768374</v>
      </c>
      <c r="IM27" s="448">
        <f>(IM26/HZ26-1)*100</f>
        <v>-10.627240918100133</v>
      </c>
      <c r="IN27" s="507">
        <f t="shared" ref="IN27:IX27" si="187">(IN26/IA26-1)*100</f>
        <v>-10.728999670306717</v>
      </c>
      <c r="IO27" s="507">
        <f t="shared" si="187"/>
        <v>-4.4798768033879055</v>
      </c>
      <c r="IP27" s="507">
        <f t="shared" si="187"/>
        <v>-4.3468257383039273</v>
      </c>
      <c r="IQ27" s="507">
        <f t="shared" si="187"/>
        <v>-1.4669059343961233</v>
      </c>
      <c r="IR27" s="507">
        <f t="shared" si="187"/>
        <v>4.499552618349445</v>
      </c>
      <c r="IS27" s="507">
        <f t="shared" si="187"/>
        <v>10.299919365940969</v>
      </c>
      <c r="IT27" s="507">
        <f t="shared" si="187"/>
        <v>10.198302748966427</v>
      </c>
      <c r="IU27" s="507">
        <f t="shared" si="187"/>
        <v>8.0762916969363765</v>
      </c>
      <c r="IV27" s="507">
        <f t="shared" si="187"/>
        <v>11.486317983412441</v>
      </c>
      <c r="IW27" s="507">
        <f t="shared" si="187"/>
        <v>11.345622543562794</v>
      </c>
      <c r="IX27" s="507">
        <f t="shared" si="187"/>
        <v>10.296203053771702</v>
      </c>
      <c r="IY27" s="482">
        <f>(IY26/IL26-1)*100</f>
        <v>2.6082505636190634</v>
      </c>
      <c r="IZ27" s="507">
        <f>(IZ26/IM26-1)*100</f>
        <v>7.5050385864108504</v>
      </c>
      <c r="JA27" s="507">
        <f t="shared" ref="JA27:JE27" si="188">(JA26/IN26-1)*100</f>
        <v>6.7280598012170456</v>
      </c>
      <c r="JB27" s="507">
        <f t="shared" si="188"/>
        <v>6.8475834290784077</v>
      </c>
      <c r="JC27" s="507">
        <f t="shared" si="188"/>
        <v>4.3407890391747417</v>
      </c>
      <c r="JD27" s="507">
        <f t="shared" si="188"/>
        <v>5.0877081524463019</v>
      </c>
      <c r="JE27" s="507">
        <f t="shared" si="188"/>
        <v>7.5675482542218564</v>
      </c>
      <c r="JF27" s="507">
        <f>(JF26/841-1)*100</f>
        <v>0.83234244946492897</v>
      </c>
      <c r="JG27" s="507">
        <f>(JG26/IT26-1)*100</f>
        <v>3.0041387372112593</v>
      </c>
      <c r="JH27" s="507">
        <f t="shared" ref="JH27:JK27" si="189">(JH26/IU26-1)*100</f>
        <v>3.7414599666011794</v>
      </c>
      <c r="JI27" s="507">
        <f t="shared" si="189"/>
        <v>3.9143377005093738</v>
      </c>
      <c r="JJ27" s="507">
        <f t="shared" si="189"/>
        <v>4.6771047221502826</v>
      </c>
      <c r="JK27" s="507">
        <f t="shared" si="189"/>
        <v>2.9372470836439124</v>
      </c>
      <c r="JL27" s="532">
        <f>(JL26/9167-1)*100</f>
        <v>4.6907385185993133</v>
      </c>
      <c r="JM27" s="507">
        <f t="shared" si="29"/>
        <v>6.3612319803882267</v>
      </c>
      <c r="JN27" s="574">
        <f>(JN26/757-1)*100</f>
        <v>9.3791281373844182</v>
      </c>
    </row>
    <row r="29" spans="1:274" x14ac:dyDescent="0.15">
      <c r="JG29" s="283"/>
      <c r="JH29" s="283"/>
      <c r="JI29" s="283"/>
      <c r="JJ29" s="283"/>
      <c r="JK29" s="283"/>
    </row>
  </sheetData>
  <mergeCells count="6">
    <mergeCell ref="A20:A23"/>
    <mergeCell ref="A24:A27"/>
    <mergeCell ref="A4:A7"/>
    <mergeCell ref="A8:A11"/>
    <mergeCell ref="A12:A15"/>
    <mergeCell ref="A16:A19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>
    <oddHeader>&amp;L金属熱処理加工月報（原材料等）</oddHeader>
  </headerFooter>
  <ignoredErrors>
    <ignoredError sqref="IG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N7"/>
  <sheetViews>
    <sheetView zoomScaleNormal="100" workbookViewId="0">
      <pane xSplit="2" ySplit="3" topLeftCell="IY4" activePane="bottomRight" state="frozen"/>
      <selection pane="topRight" activeCell="C1" sqref="C1"/>
      <selection pane="bottomLeft" activeCell="A4" sqref="A4"/>
      <selection pane="bottomRight" activeCell="JM9" sqref="JM9"/>
    </sheetView>
  </sheetViews>
  <sheetFormatPr defaultRowHeight="13.5" x14ac:dyDescent="0.15"/>
  <cols>
    <col min="1" max="1" width="12.625" customWidth="1"/>
    <col min="3" max="14" width="8.625" customWidth="1"/>
    <col min="15" max="38" width="8.625" hidden="1" customWidth="1"/>
    <col min="39" max="39" width="8.625" customWidth="1"/>
    <col min="40" max="51" width="8.625" hidden="1" customWidth="1"/>
    <col min="52" max="52" width="8.625" customWidth="1"/>
    <col min="53" max="76" width="0" hidden="1" customWidth="1"/>
    <col min="82" max="83" width="9" style="145"/>
    <col min="91" max="96" width="9" style="283"/>
    <col min="228" max="232" width="9" customWidth="1"/>
    <col min="234" max="245" width="9" customWidth="1"/>
    <col min="248" max="259" width="9" customWidth="1"/>
    <col min="261" max="266" width="9" customWidth="1"/>
    <col min="267" max="272" width="8.75" customWidth="1"/>
  </cols>
  <sheetData>
    <row r="1" spans="1:274" x14ac:dyDescent="0.15">
      <c r="A1" t="s">
        <v>78</v>
      </c>
    </row>
    <row r="2" spans="1:274" ht="14.25" thickBot="1" x14ac:dyDescent="0.2"/>
    <row r="3" spans="1:274" ht="14.25" thickBot="1" x14ac:dyDescent="0.2">
      <c r="A3" s="558"/>
      <c r="B3" s="559"/>
      <c r="C3" s="91" t="s">
        <v>37</v>
      </c>
      <c r="D3" s="92" t="s">
        <v>79</v>
      </c>
      <c r="E3" s="93" t="s">
        <v>80</v>
      </c>
      <c r="F3" s="92" t="s">
        <v>81</v>
      </c>
      <c r="G3" s="93" t="s">
        <v>82</v>
      </c>
      <c r="H3" s="92" t="s">
        <v>83</v>
      </c>
      <c r="I3" s="93" t="s">
        <v>84</v>
      </c>
      <c r="J3" s="92" t="s">
        <v>85</v>
      </c>
      <c r="K3" s="93" t="s">
        <v>86</v>
      </c>
      <c r="L3" s="92" t="s">
        <v>87</v>
      </c>
      <c r="M3" s="93" t="s">
        <v>88</v>
      </c>
      <c r="N3" s="92" t="s">
        <v>89</v>
      </c>
      <c r="O3" s="92" t="s">
        <v>48</v>
      </c>
      <c r="P3" s="92" t="s">
        <v>49</v>
      </c>
      <c r="Q3" s="92" t="s">
        <v>50</v>
      </c>
      <c r="R3" s="92" t="s">
        <v>51</v>
      </c>
      <c r="S3" s="92" t="s">
        <v>52</v>
      </c>
      <c r="T3" s="92" t="s">
        <v>53</v>
      </c>
      <c r="U3" s="92" t="s">
        <v>54</v>
      </c>
      <c r="V3" s="92" t="s">
        <v>55</v>
      </c>
      <c r="W3" s="92" t="s">
        <v>56</v>
      </c>
      <c r="X3" s="92" t="s">
        <v>90</v>
      </c>
      <c r="Y3" s="92" t="s">
        <v>91</v>
      </c>
      <c r="Z3" s="92" t="s">
        <v>92</v>
      </c>
      <c r="AA3" s="93" t="s">
        <v>60</v>
      </c>
      <c r="AB3" s="92" t="s">
        <v>61</v>
      </c>
      <c r="AC3" s="93" t="s">
        <v>62</v>
      </c>
      <c r="AD3" s="92" t="s">
        <v>63</v>
      </c>
      <c r="AE3" s="93" t="s">
        <v>64</v>
      </c>
      <c r="AF3" s="92" t="s">
        <v>65</v>
      </c>
      <c r="AG3" s="93" t="s">
        <v>66</v>
      </c>
      <c r="AH3" s="92" t="s">
        <v>67</v>
      </c>
      <c r="AI3" s="93" t="s">
        <v>68</v>
      </c>
      <c r="AJ3" s="92" t="s">
        <v>93</v>
      </c>
      <c r="AK3" s="93" t="s">
        <v>94</v>
      </c>
      <c r="AL3" s="92" t="s">
        <v>95</v>
      </c>
      <c r="AM3" s="93" t="s">
        <v>165</v>
      </c>
      <c r="AN3" s="115" t="s">
        <v>72</v>
      </c>
      <c r="AO3" s="92" t="s">
        <v>73</v>
      </c>
      <c r="AP3" s="94" t="s">
        <v>74</v>
      </c>
      <c r="AQ3" s="93" t="s">
        <v>152</v>
      </c>
      <c r="AR3" s="93" t="s">
        <v>153</v>
      </c>
      <c r="AS3" s="92" t="s">
        <v>154</v>
      </c>
      <c r="AT3" s="93" t="s">
        <v>155</v>
      </c>
      <c r="AU3" s="92" t="s">
        <v>156</v>
      </c>
      <c r="AV3" s="93" t="s">
        <v>157</v>
      </c>
      <c r="AW3" s="92" t="s">
        <v>161</v>
      </c>
      <c r="AX3" s="93" t="s">
        <v>162</v>
      </c>
      <c r="AY3" s="95" t="s">
        <v>163</v>
      </c>
      <c r="AZ3" s="130" t="s">
        <v>193</v>
      </c>
      <c r="BA3" s="111" t="s">
        <v>164</v>
      </c>
      <c r="BB3" s="112" t="s">
        <v>166</v>
      </c>
      <c r="BC3" s="112" t="s">
        <v>167</v>
      </c>
      <c r="BD3" s="112" t="s">
        <v>169</v>
      </c>
      <c r="BE3" s="112" t="s">
        <v>172</v>
      </c>
      <c r="BF3" s="112" t="s">
        <v>173</v>
      </c>
      <c r="BG3" s="112" t="s">
        <v>178</v>
      </c>
      <c r="BH3" s="112" t="s">
        <v>180</v>
      </c>
      <c r="BI3" s="112" t="s">
        <v>184</v>
      </c>
      <c r="BJ3" s="112" t="s">
        <v>186</v>
      </c>
      <c r="BK3" s="112" t="s">
        <v>189</v>
      </c>
      <c r="BL3" s="112" t="s">
        <v>194</v>
      </c>
      <c r="BM3" s="112" t="s">
        <v>197</v>
      </c>
      <c r="BN3" s="112" t="s">
        <v>198</v>
      </c>
      <c r="BO3" s="112" t="s">
        <v>200</v>
      </c>
      <c r="BP3" s="112" t="s">
        <v>203</v>
      </c>
      <c r="BQ3" s="112" t="s">
        <v>205</v>
      </c>
      <c r="BR3" s="112" t="s">
        <v>207</v>
      </c>
      <c r="BS3" s="112" t="s">
        <v>209</v>
      </c>
      <c r="BT3" s="141" t="s">
        <v>211</v>
      </c>
      <c r="BU3" s="141" t="s">
        <v>213</v>
      </c>
      <c r="BV3" s="141" t="s">
        <v>215</v>
      </c>
      <c r="BW3" s="141" t="s">
        <v>217</v>
      </c>
      <c r="BX3" s="141" t="s">
        <v>219</v>
      </c>
      <c r="BY3" s="130" t="s">
        <v>222</v>
      </c>
      <c r="BZ3" s="141" t="s">
        <v>221</v>
      </c>
      <c r="CA3" s="112" t="s">
        <v>223</v>
      </c>
      <c r="CB3" s="112" t="s">
        <v>224</v>
      </c>
      <c r="CC3" s="112" t="s">
        <v>225</v>
      </c>
      <c r="CD3" s="112" t="s">
        <v>226</v>
      </c>
      <c r="CE3" s="156" t="s">
        <v>227</v>
      </c>
      <c r="CF3" s="156" t="s">
        <v>228</v>
      </c>
      <c r="CG3" s="156" t="s">
        <v>229</v>
      </c>
      <c r="CH3" s="156" t="s">
        <v>230</v>
      </c>
      <c r="CI3" s="112" t="s">
        <v>231</v>
      </c>
      <c r="CJ3" s="262" t="s">
        <v>232</v>
      </c>
      <c r="CK3" s="148" t="s">
        <v>233</v>
      </c>
      <c r="CL3" s="95" t="s">
        <v>246</v>
      </c>
      <c r="CM3" s="284" t="s">
        <v>234</v>
      </c>
      <c r="CN3" s="266" t="s">
        <v>235</v>
      </c>
      <c r="CO3" s="266" t="s">
        <v>236</v>
      </c>
      <c r="CP3" s="322" t="s">
        <v>237</v>
      </c>
      <c r="CQ3" s="322" t="s">
        <v>238</v>
      </c>
      <c r="CR3" s="322" t="s">
        <v>239</v>
      </c>
      <c r="CS3" s="322" t="s">
        <v>240</v>
      </c>
      <c r="CT3" s="322" t="s">
        <v>241</v>
      </c>
      <c r="CU3" s="322" t="s">
        <v>242</v>
      </c>
      <c r="CV3" s="322" t="s">
        <v>243</v>
      </c>
      <c r="CW3" s="322" t="s">
        <v>244</v>
      </c>
      <c r="CX3" s="312" t="s">
        <v>245</v>
      </c>
      <c r="CY3" s="95" t="s">
        <v>247</v>
      </c>
      <c r="CZ3" s="284" t="s">
        <v>251</v>
      </c>
      <c r="DA3" s="322" t="s">
        <v>253</v>
      </c>
      <c r="DB3" s="329" t="s">
        <v>255</v>
      </c>
      <c r="DC3" s="322" t="s">
        <v>257</v>
      </c>
      <c r="DD3" s="329" t="s">
        <v>259</v>
      </c>
      <c r="DE3" s="329" t="s">
        <v>261</v>
      </c>
      <c r="DF3" s="329" t="s">
        <v>263</v>
      </c>
      <c r="DG3" s="329" t="s">
        <v>265</v>
      </c>
      <c r="DH3" s="329" t="s">
        <v>267</v>
      </c>
      <c r="DI3" s="329" t="s">
        <v>268</v>
      </c>
      <c r="DJ3" s="329" t="s">
        <v>270</v>
      </c>
      <c r="DK3" s="329" t="s">
        <v>271</v>
      </c>
      <c r="DL3" s="95" t="s">
        <v>275</v>
      </c>
      <c r="DM3" s="329" t="s">
        <v>273</v>
      </c>
      <c r="DN3" s="329" t="s">
        <v>276</v>
      </c>
      <c r="DO3" s="329" t="s">
        <v>277</v>
      </c>
      <c r="DP3" s="329" t="s">
        <v>279</v>
      </c>
      <c r="DQ3" s="329" t="s">
        <v>280</v>
      </c>
      <c r="DR3" s="329" t="s">
        <v>281</v>
      </c>
      <c r="DS3" s="329" t="s">
        <v>282</v>
      </c>
      <c r="DT3" s="329" t="s">
        <v>283</v>
      </c>
      <c r="DU3" s="329" t="s">
        <v>284</v>
      </c>
      <c r="DV3" s="329" t="s">
        <v>285</v>
      </c>
      <c r="DW3" s="329" t="s">
        <v>286</v>
      </c>
      <c r="DX3" s="404" t="s">
        <v>287</v>
      </c>
      <c r="DY3" s="305" t="s">
        <v>288</v>
      </c>
      <c r="DZ3" s="329" t="s">
        <v>291</v>
      </c>
      <c r="EA3" s="329" t="s">
        <v>292</v>
      </c>
      <c r="EB3" s="329" t="s">
        <v>293</v>
      </c>
      <c r="EC3" s="329" t="s">
        <v>294</v>
      </c>
      <c r="ED3" s="329" t="s">
        <v>295</v>
      </c>
      <c r="EE3" s="329" t="s">
        <v>296</v>
      </c>
      <c r="EF3" s="329" t="s">
        <v>297</v>
      </c>
      <c r="EG3" s="329" t="s">
        <v>298</v>
      </c>
      <c r="EH3" s="329" t="s">
        <v>299</v>
      </c>
      <c r="EI3" s="329" t="s">
        <v>300</v>
      </c>
      <c r="EJ3" s="329" t="s">
        <v>301</v>
      </c>
      <c r="EK3" s="329" t="s">
        <v>302</v>
      </c>
      <c r="EL3" s="305" t="s">
        <v>305</v>
      </c>
      <c r="EM3" s="329" t="s">
        <v>303</v>
      </c>
      <c r="EN3" s="329" t="s">
        <v>306</v>
      </c>
      <c r="EO3" s="329" t="s">
        <v>307</v>
      </c>
      <c r="EP3" s="329" t="s">
        <v>308</v>
      </c>
      <c r="EQ3" s="329" t="s">
        <v>309</v>
      </c>
      <c r="ER3" s="329" t="s">
        <v>310</v>
      </c>
      <c r="ES3" s="329" t="s">
        <v>311</v>
      </c>
      <c r="ET3" s="329" t="s">
        <v>312</v>
      </c>
      <c r="EU3" s="329" t="s">
        <v>313</v>
      </c>
      <c r="EV3" s="329" t="s">
        <v>314</v>
      </c>
      <c r="EW3" s="329" t="s">
        <v>315</v>
      </c>
      <c r="EX3" s="329" t="s">
        <v>316</v>
      </c>
      <c r="EY3" s="305" t="s">
        <v>317</v>
      </c>
      <c r="EZ3" s="329" t="s">
        <v>318</v>
      </c>
      <c r="FA3" s="329" t="s">
        <v>320</v>
      </c>
      <c r="FB3" s="329" t="s">
        <v>321</v>
      </c>
      <c r="FC3" s="329" t="s">
        <v>322</v>
      </c>
      <c r="FD3" s="329" t="s">
        <v>323</v>
      </c>
      <c r="FE3" s="329" t="s">
        <v>324</v>
      </c>
      <c r="FF3" s="329" t="s">
        <v>325</v>
      </c>
      <c r="FG3" s="329" t="s">
        <v>326</v>
      </c>
      <c r="FH3" s="329" t="s">
        <v>327</v>
      </c>
      <c r="FI3" s="329" t="s">
        <v>328</v>
      </c>
      <c r="FJ3" s="329" t="s">
        <v>329</v>
      </c>
      <c r="FK3" s="329" t="s">
        <v>330</v>
      </c>
      <c r="FL3" s="305" t="s">
        <v>332</v>
      </c>
      <c r="FM3" s="329" t="s">
        <v>333</v>
      </c>
      <c r="FN3" s="329" t="s">
        <v>334</v>
      </c>
      <c r="FO3" s="329" t="s">
        <v>335</v>
      </c>
      <c r="FP3" s="329" t="s">
        <v>336</v>
      </c>
      <c r="FQ3" s="329" t="s">
        <v>337</v>
      </c>
      <c r="FR3" s="329" t="s">
        <v>338</v>
      </c>
      <c r="FS3" s="329" t="s">
        <v>339</v>
      </c>
      <c r="FT3" s="329" t="s">
        <v>340</v>
      </c>
      <c r="FU3" s="329" t="s">
        <v>341</v>
      </c>
      <c r="FV3" s="329" t="s">
        <v>342</v>
      </c>
      <c r="FW3" s="329" t="s">
        <v>343</v>
      </c>
      <c r="FX3" s="329" t="s">
        <v>344</v>
      </c>
      <c r="FY3" s="305" t="s">
        <v>347</v>
      </c>
      <c r="FZ3" s="329" t="s">
        <v>346</v>
      </c>
      <c r="GA3" s="329" t="s">
        <v>348</v>
      </c>
      <c r="GB3" s="329" t="s">
        <v>349</v>
      </c>
      <c r="GC3" s="329" t="s">
        <v>350</v>
      </c>
      <c r="GD3" s="329" t="s">
        <v>351</v>
      </c>
      <c r="GE3" s="329" t="s">
        <v>352</v>
      </c>
      <c r="GF3" s="329" t="s">
        <v>353</v>
      </c>
      <c r="GG3" s="329" t="s">
        <v>354</v>
      </c>
      <c r="GH3" s="329" t="s">
        <v>355</v>
      </c>
      <c r="GI3" s="329" t="s">
        <v>356</v>
      </c>
      <c r="GJ3" s="329" t="s">
        <v>357</v>
      </c>
      <c r="GK3" s="329" t="s">
        <v>358</v>
      </c>
      <c r="GL3" s="305" t="s">
        <v>359</v>
      </c>
      <c r="GM3" s="329" t="s">
        <v>361</v>
      </c>
      <c r="GN3" s="329" t="s">
        <v>362</v>
      </c>
      <c r="GO3" s="329" t="s">
        <v>363</v>
      </c>
      <c r="GP3" s="329" t="s">
        <v>364</v>
      </c>
      <c r="GQ3" s="329" t="s">
        <v>365</v>
      </c>
      <c r="GR3" s="329" t="s">
        <v>366</v>
      </c>
      <c r="GS3" s="329" t="s">
        <v>367</v>
      </c>
      <c r="GT3" s="329" t="s">
        <v>368</v>
      </c>
      <c r="GU3" s="329" t="s">
        <v>369</v>
      </c>
      <c r="GV3" s="329" t="s">
        <v>370</v>
      </c>
      <c r="GW3" s="329" t="s">
        <v>371</v>
      </c>
      <c r="GX3" s="329" t="s">
        <v>372</v>
      </c>
      <c r="GY3" s="305" t="s">
        <v>376</v>
      </c>
      <c r="GZ3" s="329" t="s">
        <v>374</v>
      </c>
      <c r="HA3" s="329" t="s">
        <v>377</v>
      </c>
      <c r="HB3" s="329" t="s">
        <v>378</v>
      </c>
      <c r="HC3" s="329" t="s">
        <v>379</v>
      </c>
      <c r="HD3" s="329" t="s">
        <v>380</v>
      </c>
      <c r="HE3" s="329" t="s">
        <v>381</v>
      </c>
      <c r="HF3" s="329" t="s">
        <v>382</v>
      </c>
      <c r="HG3" s="329" t="s">
        <v>383</v>
      </c>
      <c r="HH3" s="329" t="s">
        <v>384</v>
      </c>
      <c r="HI3" s="329" t="s">
        <v>385</v>
      </c>
      <c r="HJ3" s="329" t="s">
        <v>386</v>
      </c>
      <c r="HK3" s="329" t="s">
        <v>387</v>
      </c>
      <c r="HL3" s="305" t="s">
        <v>389</v>
      </c>
      <c r="HM3" s="329" t="s">
        <v>390</v>
      </c>
      <c r="HN3" s="329" t="s">
        <v>391</v>
      </c>
      <c r="HO3" s="329" t="s">
        <v>392</v>
      </c>
      <c r="HP3" s="329" t="s">
        <v>393</v>
      </c>
      <c r="HQ3" s="329" t="s">
        <v>394</v>
      </c>
      <c r="HR3" s="329" t="s">
        <v>395</v>
      </c>
      <c r="HS3" s="329" t="s">
        <v>396</v>
      </c>
      <c r="HT3" s="329" t="s">
        <v>397</v>
      </c>
      <c r="HU3" s="329" t="s">
        <v>398</v>
      </c>
      <c r="HV3" s="329" t="s">
        <v>399</v>
      </c>
      <c r="HW3" s="329" t="s">
        <v>400</v>
      </c>
      <c r="HX3" s="329" t="s">
        <v>401</v>
      </c>
      <c r="HY3" s="476" t="s">
        <v>402</v>
      </c>
      <c r="HZ3" s="487" t="s">
        <v>404</v>
      </c>
      <c r="IA3" s="488" t="s">
        <v>405</v>
      </c>
      <c r="IB3" s="488" t="s">
        <v>406</v>
      </c>
      <c r="IC3" s="488" t="s">
        <v>407</v>
      </c>
      <c r="ID3" s="488" t="s">
        <v>408</v>
      </c>
      <c r="IE3" s="488" t="s">
        <v>409</v>
      </c>
      <c r="IF3" s="488" t="s">
        <v>410</v>
      </c>
      <c r="IG3" s="488" t="s">
        <v>411</v>
      </c>
      <c r="IH3" s="488" t="s">
        <v>412</v>
      </c>
      <c r="II3" s="488" t="s">
        <v>413</v>
      </c>
      <c r="IJ3" s="488" t="s">
        <v>414</v>
      </c>
      <c r="IK3" s="488" t="s">
        <v>415</v>
      </c>
      <c r="IL3" s="495" t="s">
        <v>434</v>
      </c>
      <c r="IM3" s="487" t="s">
        <v>421</v>
      </c>
      <c r="IN3" s="488" t="s">
        <v>422</v>
      </c>
      <c r="IO3" s="488" t="s">
        <v>423</v>
      </c>
      <c r="IP3" s="488" t="s">
        <v>424</v>
      </c>
      <c r="IQ3" s="488" t="s">
        <v>425</v>
      </c>
      <c r="IR3" s="488" t="s">
        <v>426</v>
      </c>
      <c r="IS3" s="488" t="s">
        <v>427</v>
      </c>
      <c r="IT3" s="488" t="s">
        <v>428</v>
      </c>
      <c r="IU3" s="488" t="s">
        <v>429</v>
      </c>
      <c r="IV3" s="488" t="s">
        <v>430</v>
      </c>
      <c r="IW3" s="488" t="s">
        <v>431</v>
      </c>
      <c r="IX3" s="488" t="s">
        <v>432</v>
      </c>
      <c r="IY3" s="495" t="s">
        <v>433</v>
      </c>
      <c r="IZ3" s="487" t="s">
        <v>436</v>
      </c>
      <c r="JA3" s="488" t="s">
        <v>437</v>
      </c>
      <c r="JB3" s="488" t="s">
        <v>438</v>
      </c>
      <c r="JC3" s="488" t="s">
        <v>439</v>
      </c>
      <c r="JD3" s="488" t="s">
        <v>440</v>
      </c>
      <c r="JE3" s="488" t="s">
        <v>441</v>
      </c>
      <c r="JF3" s="488" t="s">
        <v>442</v>
      </c>
      <c r="JG3" s="488" t="s">
        <v>443</v>
      </c>
      <c r="JH3" s="488" t="s">
        <v>444</v>
      </c>
      <c r="JI3" s="488" t="s">
        <v>445</v>
      </c>
      <c r="JJ3" s="488" t="s">
        <v>446</v>
      </c>
      <c r="JK3" s="488" t="s">
        <v>447</v>
      </c>
      <c r="JL3" s="495" t="s">
        <v>448</v>
      </c>
      <c r="JM3" s="541" t="s">
        <v>449</v>
      </c>
      <c r="JN3" s="576" t="s">
        <v>450</v>
      </c>
    </row>
    <row r="4" spans="1:274" x14ac:dyDescent="0.15">
      <c r="A4" s="553" t="s">
        <v>96</v>
      </c>
      <c r="B4" s="38" t="s">
        <v>100</v>
      </c>
      <c r="C4" s="12">
        <v>4778</v>
      </c>
      <c r="D4" s="13">
        <v>4742</v>
      </c>
      <c r="E4" s="14">
        <v>4803</v>
      </c>
      <c r="F4" s="13">
        <v>4734</v>
      </c>
      <c r="G4" s="14">
        <v>4697</v>
      </c>
      <c r="H4" s="13">
        <v>4714</v>
      </c>
      <c r="I4" s="14">
        <v>5021</v>
      </c>
      <c r="J4" s="13">
        <v>4767</v>
      </c>
      <c r="K4" s="14">
        <v>4772</v>
      </c>
      <c r="L4" s="13">
        <v>4618</v>
      </c>
      <c r="M4" s="129">
        <v>4516</v>
      </c>
      <c r="N4" s="13">
        <f>AL4</f>
        <v>4651</v>
      </c>
      <c r="O4" s="13">
        <v>4573</v>
      </c>
      <c r="P4" s="13">
        <v>4548</v>
      </c>
      <c r="Q4" s="13">
        <v>4547</v>
      </c>
      <c r="R4" s="13">
        <v>4624</v>
      </c>
      <c r="S4" s="13">
        <v>4596</v>
      </c>
      <c r="T4" s="13">
        <v>4574</v>
      </c>
      <c r="U4" s="13">
        <v>4540</v>
      </c>
      <c r="V4" s="13">
        <v>4533</v>
      </c>
      <c r="W4" s="13">
        <v>4496</v>
      </c>
      <c r="X4" s="13">
        <v>4514</v>
      </c>
      <c r="Y4" s="13">
        <v>4519</v>
      </c>
      <c r="Z4" s="13">
        <v>4516</v>
      </c>
      <c r="AA4" s="14">
        <v>4525</v>
      </c>
      <c r="AB4" s="13">
        <v>4528</v>
      </c>
      <c r="AC4" s="14">
        <v>4489</v>
      </c>
      <c r="AD4" s="13">
        <v>4568</v>
      </c>
      <c r="AE4" s="14">
        <v>4591</v>
      </c>
      <c r="AF4" s="13">
        <v>4572</v>
      </c>
      <c r="AG4" s="14">
        <v>4555</v>
      </c>
      <c r="AH4" s="13">
        <v>4544</v>
      </c>
      <c r="AI4" s="14">
        <v>4553</v>
      </c>
      <c r="AJ4" s="13">
        <v>4523</v>
      </c>
      <c r="AK4" s="14">
        <v>4587</v>
      </c>
      <c r="AL4" s="13">
        <v>4651</v>
      </c>
      <c r="AM4" s="14">
        <f>SUM(AN4:AY4)/12</f>
        <v>4594.083333333333</v>
      </c>
      <c r="AN4" s="113">
        <v>4634</v>
      </c>
      <c r="AO4" s="13">
        <v>4616</v>
      </c>
      <c r="AP4" s="85">
        <v>4567</v>
      </c>
      <c r="AQ4" s="14">
        <v>4545</v>
      </c>
      <c r="AR4" s="14">
        <v>4583</v>
      </c>
      <c r="AS4" s="13">
        <v>4593</v>
      </c>
      <c r="AT4" s="14">
        <v>4668</v>
      </c>
      <c r="AU4" s="13">
        <v>4620</v>
      </c>
      <c r="AV4" s="14">
        <v>4601</v>
      </c>
      <c r="AW4" s="13">
        <v>4594</v>
      </c>
      <c r="AX4" s="14">
        <v>4584</v>
      </c>
      <c r="AY4" s="102">
        <v>4524</v>
      </c>
      <c r="AZ4" s="110">
        <f>SUM(BA4:BL4)/12</f>
        <v>4546.583333333333</v>
      </c>
      <c r="BA4" s="12">
        <v>4459</v>
      </c>
      <c r="BB4" s="14">
        <v>4626</v>
      </c>
      <c r="BC4" s="14">
        <v>4519</v>
      </c>
      <c r="BD4" s="14">
        <v>4531</v>
      </c>
      <c r="BE4" s="14">
        <v>4625</v>
      </c>
      <c r="BF4" s="14">
        <v>4549</v>
      </c>
      <c r="BG4" s="14">
        <v>4464</v>
      </c>
      <c r="BH4" s="14">
        <v>4524</v>
      </c>
      <c r="BI4" s="14">
        <v>4655</v>
      </c>
      <c r="BJ4" s="14">
        <v>4532</v>
      </c>
      <c r="BK4" s="14">
        <v>4537</v>
      </c>
      <c r="BL4" s="14">
        <v>4538</v>
      </c>
      <c r="BM4" s="14">
        <v>4538</v>
      </c>
      <c r="BN4" s="14">
        <v>4543</v>
      </c>
      <c r="BO4" s="14">
        <v>4558</v>
      </c>
      <c r="BP4" s="14">
        <v>4718</v>
      </c>
      <c r="BQ4" s="14">
        <v>4702</v>
      </c>
      <c r="BR4" s="14">
        <v>4871</v>
      </c>
      <c r="BS4" s="14">
        <v>4827</v>
      </c>
      <c r="BT4" s="14">
        <v>4819</v>
      </c>
      <c r="BU4" s="14">
        <v>4821</v>
      </c>
      <c r="BV4" s="14">
        <v>4822</v>
      </c>
      <c r="BW4" s="14">
        <v>4837</v>
      </c>
      <c r="BX4" s="14">
        <v>4870</v>
      </c>
      <c r="BY4" s="110">
        <f>SUM(BM4:BX4)/12</f>
        <v>4743.833333333333</v>
      </c>
      <c r="BZ4" s="14">
        <v>4849</v>
      </c>
      <c r="CA4" s="14">
        <v>4920</v>
      </c>
      <c r="CB4" s="14">
        <v>4877</v>
      </c>
      <c r="CC4" s="14">
        <v>5013</v>
      </c>
      <c r="CD4" s="26">
        <v>5029</v>
      </c>
      <c r="CE4" s="88">
        <v>5039</v>
      </c>
      <c r="CF4" s="88">
        <v>5047</v>
      </c>
      <c r="CG4" s="88">
        <v>5097</v>
      </c>
      <c r="CH4" s="88">
        <v>5100</v>
      </c>
      <c r="CI4" s="29">
        <v>5097</v>
      </c>
      <c r="CJ4" s="28">
        <v>5108</v>
      </c>
      <c r="CK4" s="381">
        <v>5140</v>
      </c>
      <c r="CL4" s="102">
        <f>SUM(BZ4:CK4)/12</f>
        <v>5026.333333333333</v>
      </c>
      <c r="CM4" s="285">
        <v>5120</v>
      </c>
      <c r="CN4" s="286">
        <v>5124</v>
      </c>
      <c r="CO4" s="286">
        <v>5144</v>
      </c>
      <c r="CP4" s="323">
        <v>5196</v>
      </c>
      <c r="CQ4" s="323">
        <v>5198</v>
      </c>
      <c r="CR4" s="323">
        <v>5216</v>
      </c>
      <c r="CS4" s="323">
        <v>5218</v>
      </c>
      <c r="CT4" s="323">
        <v>5163</v>
      </c>
      <c r="CU4" s="323">
        <v>5173</v>
      </c>
      <c r="CV4" s="323">
        <v>5189</v>
      </c>
      <c r="CW4" s="323">
        <v>5175</v>
      </c>
      <c r="CX4" s="313">
        <v>5209</v>
      </c>
      <c r="CY4" s="102">
        <f>SUM(CM4:CX4)/12</f>
        <v>5177.083333333333</v>
      </c>
      <c r="CZ4" s="319">
        <v>5209</v>
      </c>
      <c r="DA4" s="323">
        <v>5236</v>
      </c>
      <c r="DB4" s="330">
        <v>5264</v>
      </c>
      <c r="DC4" s="323">
        <v>5378</v>
      </c>
      <c r="DD4" s="330">
        <v>5383</v>
      </c>
      <c r="DE4" s="330">
        <v>5361</v>
      </c>
      <c r="DF4" s="330">
        <v>5328</v>
      </c>
      <c r="DG4" s="330">
        <v>5178</v>
      </c>
      <c r="DH4" s="330">
        <v>5185</v>
      </c>
      <c r="DI4" s="330">
        <v>5429</v>
      </c>
      <c r="DJ4" s="330">
        <v>5469</v>
      </c>
      <c r="DK4" s="330">
        <v>5483</v>
      </c>
      <c r="DL4" s="102">
        <f>SUM(CZ4:DK4)/12</f>
        <v>5325.25</v>
      </c>
      <c r="DM4" s="330">
        <v>5346</v>
      </c>
      <c r="DN4" s="330">
        <v>5467</v>
      </c>
      <c r="DO4" s="330">
        <v>5507</v>
      </c>
      <c r="DP4" s="330">
        <v>5608</v>
      </c>
      <c r="DQ4" s="330">
        <v>5703</v>
      </c>
      <c r="DR4" s="330">
        <v>5650</v>
      </c>
      <c r="DS4" s="330">
        <v>5619</v>
      </c>
      <c r="DT4" s="330">
        <v>5633</v>
      </c>
      <c r="DU4" s="330">
        <v>5632</v>
      </c>
      <c r="DV4" s="330">
        <v>5688</v>
      </c>
      <c r="DW4" s="330">
        <v>5693</v>
      </c>
      <c r="DX4" s="405">
        <v>5691</v>
      </c>
      <c r="DY4" s="306">
        <f>SUM(DM4:DX4)/12</f>
        <v>5603.083333333333</v>
      </c>
      <c r="DZ4" s="330">
        <v>5690</v>
      </c>
      <c r="EA4" s="330">
        <v>5687</v>
      </c>
      <c r="EB4" s="330">
        <v>5704</v>
      </c>
      <c r="EC4" s="330">
        <v>5798</v>
      </c>
      <c r="ED4" s="330">
        <v>5828</v>
      </c>
      <c r="EE4" s="330">
        <v>5778</v>
      </c>
      <c r="EF4" s="330">
        <v>5851</v>
      </c>
      <c r="EG4" s="330">
        <v>5866</v>
      </c>
      <c r="EH4" s="330">
        <v>5835</v>
      </c>
      <c r="EI4" s="330">
        <v>5810</v>
      </c>
      <c r="EJ4" s="330">
        <v>5809</v>
      </c>
      <c r="EK4" s="330">
        <v>5753</v>
      </c>
      <c r="EL4" s="306">
        <f>SUM(DZ4:EK4)/12</f>
        <v>5784.083333333333</v>
      </c>
      <c r="EM4" s="330">
        <v>5643</v>
      </c>
      <c r="EN4" s="330">
        <v>5522</v>
      </c>
      <c r="EO4" s="330">
        <v>5452</v>
      </c>
      <c r="EP4" s="330">
        <v>5406</v>
      </c>
      <c r="EQ4" s="330">
        <v>5395</v>
      </c>
      <c r="ER4" s="330">
        <v>5365</v>
      </c>
      <c r="ES4" s="330">
        <v>5329</v>
      </c>
      <c r="ET4" s="330">
        <v>5309</v>
      </c>
      <c r="EU4" s="330">
        <v>5324</v>
      </c>
      <c r="EV4" s="330">
        <v>5325</v>
      </c>
      <c r="EW4" s="330">
        <v>5316</v>
      </c>
      <c r="EX4" s="330">
        <v>5325</v>
      </c>
      <c r="EY4" s="306">
        <f>SUM(EM4:EX4)/12</f>
        <v>5392.583333333333</v>
      </c>
      <c r="EZ4" s="330">
        <v>5298</v>
      </c>
      <c r="FA4" s="330">
        <v>5288</v>
      </c>
      <c r="FB4" s="330">
        <v>5310</v>
      </c>
      <c r="FC4" s="330">
        <v>5412</v>
      </c>
      <c r="FD4" s="330">
        <v>5434</v>
      </c>
      <c r="FE4" s="330">
        <v>5433</v>
      </c>
      <c r="FF4" s="330">
        <v>5451</v>
      </c>
      <c r="FG4" s="330">
        <v>5452</v>
      </c>
      <c r="FH4" s="330">
        <v>5461</v>
      </c>
      <c r="FI4" s="330">
        <v>5487</v>
      </c>
      <c r="FJ4" s="330">
        <v>5499</v>
      </c>
      <c r="FK4" s="330">
        <v>5603</v>
      </c>
      <c r="FL4" s="306">
        <f>SUM(EZ4:FK4)/12</f>
        <v>5427.333333333333</v>
      </c>
      <c r="FM4" s="330">
        <v>5623</v>
      </c>
      <c r="FN4" s="330">
        <v>5660</v>
      </c>
      <c r="FO4" s="330">
        <v>5677</v>
      </c>
      <c r="FP4" s="330">
        <v>5751</v>
      </c>
      <c r="FQ4" s="330">
        <v>5761</v>
      </c>
      <c r="FR4" s="330">
        <v>5751</v>
      </c>
      <c r="FS4" s="330">
        <v>5786</v>
      </c>
      <c r="FT4" s="330">
        <v>5792</v>
      </c>
      <c r="FU4" s="330">
        <v>5859</v>
      </c>
      <c r="FV4" s="330">
        <v>6277</v>
      </c>
      <c r="FW4" s="330">
        <v>5864</v>
      </c>
      <c r="FX4" s="330">
        <v>5857</v>
      </c>
      <c r="FY4" s="306">
        <f>SUM(FM4:FX4)/12</f>
        <v>5804.833333333333</v>
      </c>
      <c r="FZ4" s="330">
        <v>5830</v>
      </c>
      <c r="GA4" s="330">
        <v>5856</v>
      </c>
      <c r="GB4" s="330">
        <v>5841</v>
      </c>
      <c r="GC4" s="330">
        <v>5945</v>
      </c>
      <c r="GD4" s="330">
        <v>5952</v>
      </c>
      <c r="GE4" s="330">
        <v>5959</v>
      </c>
      <c r="GF4" s="330">
        <v>5955</v>
      </c>
      <c r="GG4" s="330">
        <v>5942</v>
      </c>
      <c r="GH4" s="330">
        <v>6018</v>
      </c>
      <c r="GI4" s="330">
        <v>5995</v>
      </c>
      <c r="GJ4" s="330">
        <v>5925</v>
      </c>
      <c r="GK4" s="330">
        <v>5930</v>
      </c>
      <c r="GL4" s="306">
        <f>SUM(FZ4:GK4)/12</f>
        <v>5929</v>
      </c>
      <c r="GM4" s="330">
        <v>6319</v>
      </c>
      <c r="GN4" s="330">
        <v>6284</v>
      </c>
      <c r="GO4" s="330">
        <v>6317</v>
      </c>
      <c r="GP4" s="330">
        <v>6343</v>
      </c>
      <c r="GQ4" s="330">
        <v>6349</v>
      </c>
      <c r="GR4" s="330">
        <v>6384</v>
      </c>
      <c r="GS4" s="330">
        <v>6365</v>
      </c>
      <c r="GT4" s="330">
        <v>6353</v>
      </c>
      <c r="GU4" s="330">
        <v>6342</v>
      </c>
      <c r="GV4" s="330">
        <v>6377</v>
      </c>
      <c r="GW4" s="330">
        <v>6370</v>
      </c>
      <c r="GX4" s="330">
        <v>6357</v>
      </c>
      <c r="GY4" s="306">
        <f>SUM(GM4:GX4)/12</f>
        <v>6346.666666666667</v>
      </c>
      <c r="GZ4" s="330">
        <v>6318</v>
      </c>
      <c r="HA4" s="330">
        <v>6355</v>
      </c>
      <c r="HB4" s="330">
        <v>6357</v>
      </c>
      <c r="HC4" s="330">
        <v>6428</v>
      </c>
      <c r="HD4" s="330">
        <v>6421</v>
      </c>
      <c r="HE4" s="330">
        <v>6454</v>
      </c>
      <c r="HF4" s="330">
        <v>6457</v>
      </c>
      <c r="HG4" s="330">
        <v>6488</v>
      </c>
      <c r="HH4" s="330">
        <v>6446</v>
      </c>
      <c r="HI4" s="330">
        <v>6475</v>
      </c>
      <c r="HJ4" s="330">
        <v>6775</v>
      </c>
      <c r="HK4" s="330">
        <v>6435</v>
      </c>
      <c r="HL4" s="306">
        <f>SUM(GZ4:HK4)/12</f>
        <v>6450.75</v>
      </c>
      <c r="HM4" s="330">
        <v>6430</v>
      </c>
      <c r="HN4" s="330">
        <v>6447</v>
      </c>
      <c r="HO4" s="330">
        <v>6431</v>
      </c>
      <c r="HP4" s="330">
        <v>6536</v>
      </c>
      <c r="HQ4" s="330">
        <v>6541</v>
      </c>
      <c r="HR4" s="438">
        <v>6539</v>
      </c>
      <c r="HS4" s="438">
        <v>6519</v>
      </c>
      <c r="HT4" s="450">
        <v>6490</v>
      </c>
      <c r="HU4" s="450">
        <v>7444</v>
      </c>
      <c r="HV4" s="450">
        <v>6507</v>
      </c>
      <c r="HW4" s="450">
        <v>6525</v>
      </c>
      <c r="HX4" s="450">
        <v>6499</v>
      </c>
      <c r="HY4" s="477">
        <f>SUM(HM4:HX4)/12</f>
        <v>6575.666666666667</v>
      </c>
      <c r="HZ4" s="489">
        <v>6509</v>
      </c>
      <c r="IA4" s="450">
        <v>6506</v>
      </c>
      <c r="IB4" s="450">
        <v>6518</v>
      </c>
      <c r="IC4" s="450">
        <v>6622</v>
      </c>
      <c r="ID4" s="450">
        <v>6610</v>
      </c>
      <c r="IE4" s="450">
        <v>6636</v>
      </c>
      <c r="IF4" s="450">
        <v>6630</v>
      </c>
      <c r="IG4" s="450">
        <v>6653</v>
      </c>
      <c r="IH4" s="450">
        <v>6653</v>
      </c>
      <c r="II4" s="450">
        <v>6646</v>
      </c>
      <c r="IJ4" s="450">
        <v>6668</v>
      </c>
      <c r="IK4" s="450">
        <v>6669</v>
      </c>
      <c r="IL4" s="496">
        <f>AVERAGE(HZ4:IK4)</f>
        <v>6610</v>
      </c>
      <c r="IM4" s="489">
        <v>6670</v>
      </c>
      <c r="IN4" s="450">
        <v>6505</v>
      </c>
      <c r="IO4" s="450">
        <v>6607</v>
      </c>
      <c r="IP4" s="450">
        <v>6697</v>
      </c>
      <c r="IQ4" s="450">
        <v>6632</v>
      </c>
      <c r="IR4" s="450">
        <v>6630</v>
      </c>
      <c r="IS4" s="450">
        <v>6777</v>
      </c>
      <c r="IT4" s="450">
        <v>6716</v>
      </c>
      <c r="IU4" s="450">
        <v>6566</v>
      </c>
      <c r="IV4" s="450">
        <v>7595</v>
      </c>
      <c r="IW4" s="450">
        <v>7851</v>
      </c>
      <c r="IX4" s="450">
        <v>6685</v>
      </c>
      <c r="IY4" s="496">
        <f>AVERAGE(IM4:IX4)</f>
        <v>6827.583333333333</v>
      </c>
      <c r="IZ4" s="489">
        <v>6702</v>
      </c>
      <c r="JA4" s="450">
        <v>6690</v>
      </c>
      <c r="JB4" s="450">
        <v>6710</v>
      </c>
      <c r="JC4" s="450">
        <v>6747</v>
      </c>
      <c r="JD4" s="516">
        <v>6848</v>
      </c>
      <c r="JE4" s="450">
        <v>6895</v>
      </c>
      <c r="JF4" s="450">
        <v>6911</v>
      </c>
      <c r="JG4" s="450">
        <v>6925</v>
      </c>
      <c r="JH4" s="450">
        <v>6926</v>
      </c>
      <c r="JI4" s="450">
        <v>6949</v>
      </c>
      <c r="JJ4" s="450">
        <v>6875</v>
      </c>
      <c r="JK4" s="450">
        <v>6951</v>
      </c>
      <c r="JL4" s="496">
        <f>AVERAGE(IZ4:JK4)</f>
        <v>6844.083333333333</v>
      </c>
      <c r="JM4" s="489">
        <v>7016</v>
      </c>
      <c r="JN4" s="450">
        <v>7031</v>
      </c>
    </row>
    <row r="5" spans="1:274" ht="14.25" thickBot="1" x14ac:dyDescent="0.2">
      <c r="A5" s="560"/>
      <c r="B5" s="39" t="s">
        <v>97</v>
      </c>
      <c r="C5" s="40"/>
      <c r="D5" s="41">
        <f>(D4/C4-1)*100</f>
        <v>-0.75345332775219598</v>
      </c>
      <c r="E5" s="42">
        <f t="shared" ref="E5:N5" si="0">(E4/D4-1)*100</f>
        <v>1.2863770560944676</v>
      </c>
      <c r="F5" s="41">
        <f t="shared" si="0"/>
        <v>-1.4366021236727033</v>
      </c>
      <c r="G5" s="42">
        <f t="shared" si="0"/>
        <v>-0.78158005914660267</v>
      </c>
      <c r="H5" s="41">
        <f t="shared" si="0"/>
        <v>0.36193314881840521</v>
      </c>
      <c r="I5" s="42">
        <f t="shared" si="0"/>
        <v>6.51251591005515</v>
      </c>
      <c r="J5" s="41">
        <f t="shared" si="0"/>
        <v>-5.0587532364070871</v>
      </c>
      <c r="K5" s="42">
        <f t="shared" si="0"/>
        <v>0.10488777008601513</v>
      </c>
      <c r="L5" s="41">
        <f t="shared" si="0"/>
        <v>-3.2271584241408191</v>
      </c>
      <c r="M5" s="42">
        <f t="shared" si="0"/>
        <v>-2.2087483759203108</v>
      </c>
      <c r="N5" s="41">
        <f t="shared" si="0"/>
        <v>2.989371124889284</v>
      </c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2">
        <f>(AA4/O4-1)*100</f>
        <v>-1.0496391865296273</v>
      </c>
      <c r="AB5" s="41">
        <f t="shared" ref="AB5:AL5" si="1">(AB4/P4-1)*100</f>
        <v>-0.43975373790676731</v>
      </c>
      <c r="AC5" s="42">
        <f t="shared" si="1"/>
        <v>-1.2755663074554668</v>
      </c>
      <c r="AD5" s="41">
        <f t="shared" si="1"/>
        <v>-1.2110726643598579</v>
      </c>
      <c r="AE5" s="42">
        <f t="shared" si="1"/>
        <v>-0.10879025239338702</v>
      </c>
      <c r="AF5" s="41">
        <f t="shared" si="1"/>
        <v>-4.3725404459993289E-2</v>
      </c>
      <c r="AG5" s="42">
        <f t="shared" si="1"/>
        <v>0.33039647577093323</v>
      </c>
      <c r="AH5" s="41">
        <f t="shared" si="1"/>
        <v>0.24266490183102452</v>
      </c>
      <c r="AI5" s="42">
        <f t="shared" si="1"/>
        <v>1.2677935943060437</v>
      </c>
      <c r="AJ5" s="41">
        <f t="shared" si="1"/>
        <v>0.19937970757641921</v>
      </c>
      <c r="AK5" s="42">
        <f t="shared" si="1"/>
        <v>1.5047576897543768</v>
      </c>
      <c r="AL5" s="41">
        <f t="shared" si="1"/>
        <v>2.989371124889284</v>
      </c>
      <c r="AM5" s="42">
        <f>(AM4/N4-1)*100</f>
        <v>-1.2237511646240984</v>
      </c>
      <c r="AN5" s="122">
        <f t="shared" ref="AN5:AY5" si="2">(AN4/AA4-1)*100</f>
        <v>2.4088397790055227</v>
      </c>
      <c r="AO5" s="41">
        <f t="shared" si="2"/>
        <v>1.9434628975264934</v>
      </c>
      <c r="AP5" s="97">
        <f t="shared" si="2"/>
        <v>1.7375807529516507</v>
      </c>
      <c r="AQ5" s="42">
        <f t="shared" si="2"/>
        <v>-0.5035026269702314</v>
      </c>
      <c r="AR5" s="42">
        <f t="shared" si="2"/>
        <v>-0.17425397516880325</v>
      </c>
      <c r="AS5" s="41">
        <f t="shared" si="2"/>
        <v>0.45931758530184386</v>
      </c>
      <c r="AT5" s="42">
        <f t="shared" si="2"/>
        <v>2.4807903402854103</v>
      </c>
      <c r="AU5" s="41">
        <f t="shared" si="2"/>
        <v>1.6725352112676006</v>
      </c>
      <c r="AV5" s="42">
        <f t="shared" si="2"/>
        <v>1.0542499450911569</v>
      </c>
      <c r="AW5" s="41">
        <f t="shared" si="2"/>
        <v>1.5697545876630636</v>
      </c>
      <c r="AX5" s="42">
        <f t="shared" si="2"/>
        <v>-6.5402223675603555E-2</v>
      </c>
      <c r="AY5" s="98">
        <f t="shared" si="2"/>
        <v>-2.7305955708449847</v>
      </c>
      <c r="AZ5" s="136">
        <f t="shared" ref="AZ5:BL5" si="3">(AZ4/AM4-1)*100</f>
        <v>-1.0339385804204682</v>
      </c>
      <c r="BA5" s="124">
        <f t="shared" si="3"/>
        <v>-3.7764350453172169</v>
      </c>
      <c r="BB5" s="32">
        <f t="shared" si="3"/>
        <v>0.21663778162912539</v>
      </c>
      <c r="BC5" s="32">
        <f t="shared" si="3"/>
        <v>-1.0510181738559221</v>
      </c>
      <c r="BD5" s="32">
        <f t="shared" si="3"/>
        <v>-0.30803080308030584</v>
      </c>
      <c r="BE5" s="32">
        <f t="shared" si="3"/>
        <v>0.91643028583896502</v>
      </c>
      <c r="BF5" s="32">
        <f t="shared" si="3"/>
        <v>-0.95797953407359415</v>
      </c>
      <c r="BG5" s="32">
        <f t="shared" si="3"/>
        <v>-4.3701799485861166</v>
      </c>
      <c r="BH5" s="32">
        <f t="shared" si="3"/>
        <v>-2.0779220779220786</v>
      </c>
      <c r="BI5" s="32">
        <f t="shared" si="3"/>
        <v>1.1736579004564263</v>
      </c>
      <c r="BJ5" s="32">
        <f t="shared" si="3"/>
        <v>-1.3495864170657401</v>
      </c>
      <c r="BK5" s="32">
        <f t="shared" si="3"/>
        <v>-1.0253054101221681</v>
      </c>
      <c r="BL5" s="32">
        <f t="shared" si="3"/>
        <v>0.30946065428822944</v>
      </c>
      <c r="BM5" s="32">
        <f t="shared" ref="BM5:BX5" si="4">(BM4/BA4-1)*100</f>
        <v>1.7716976900650439</v>
      </c>
      <c r="BN5" s="32">
        <f t="shared" si="4"/>
        <v>-1.7942066580198923</v>
      </c>
      <c r="BO5" s="32">
        <f t="shared" si="4"/>
        <v>0.86302279265324522</v>
      </c>
      <c r="BP5" s="32">
        <f t="shared" si="4"/>
        <v>4.1271242551313092</v>
      </c>
      <c r="BQ5" s="32">
        <f t="shared" si="4"/>
        <v>1.6648648648648567</v>
      </c>
      <c r="BR5" s="32">
        <f t="shared" si="4"/>
        <v>7.0784787865464827</v>
      </c>
      <c r="BS5" s="32">
        <f t="shared" si="4"/>
        <v>8.1317204301075243</v>
      </c>
      <c r="BT5" s="32">
        <f t="shared" si="4"/>
        <v>6.5207780725022202</v>
      </c>
      <c r="BU5" s="32">
        <f t="shared" si="4"/>
        <v>3.5660580021482202</v>
      </c>
      <c r="BV5" s="32">
        <f t="shared" si="4"/>
        <v>6.3989408649602897</v>
      </c>
      <c r="BW5" s="32">
        <f t="shared" si="4"/>
        <v>6.612298875909195</v>
      </c>
      <c r="BX5" s="32">
        <f t="shared" si="4"/>
        <v>7.3159982371088672</v>
      </c>
      <c r="BY5" s="136">
        <f>(BM4/AZ4-1)*100</f>
        <v>-0.18878645136457539</v>
      </c>
      <c r="BZ5" s="32">
        <f t="shared" ref="BZ5:CK5" si="5">(BZ4/BM4-1)*100</f>
        <v>6.8532393124724589</v>
      </c>
      <c r="CA5" s="32">
        <f t="shared" si="5"/>
        <v>8.2984811798371148</v>
      </c>
      <c r="CB5" s="32">
        <f t="shared" si="5"/>
        <v>6.9986836331724422</v>
      </c>
      <c r="CC5" s="32">
        <f t="shared" si="5"/>
        <v>6.2526494277236111</v>
      </c>
      <c r="CD5" s="32">
        <f t="shared" si="5"/>
        <v>6.9544874521480171</v>
      </c>
      <c r="CE5" s="89">
        <f t="shared" si="5"/>
        <v>3.448983781564352</v>
      </c>
      <c r="CF5" s="89">
        <f t="shared" si="5"/>
        <v>4.557696291692559</v>
      </c>
      <c r="CG5" s="89">
        <f t="shared" si="5"/>
        <v>5.7688317078232076</v>
      </c>
      <c r="CH5" s="89">
        <f t="shared" si="5"/>
        <v>5.7871810827629044</v>
      </c>
      <c r="CI5" s="32">
        <f t="shared" si="5"/>
        <v>5.7030277892990533</v>
      </c>
      <c r="CJ5" s="31">
        <f t="shared" si="5"/>
        <v>5.6026462683481437</v>
      </c>
      <c r="CK5" s="107">
        <f t="shared" si="5"/>
        <v>5.544147843942504</v>
      </c>
      <c r="CL5" s="98">
        <f t="shared" ref="CL5:EL5" si="6">(CL4/BY4-1)*100</f>
        <v>5.9550996029933634</v>
      </c>
      <c r="CM5" s="287">
        <f t="shared" si="6"/>
        <v>5.5887811919983488</v>
      </c>
      <c r="CN5" s="288">
        <f t="shared" si="6"/>
        <v>4.1463414634146378</v>
      </c>
      <c r="CO5" s="288">
        <f t="shared" si="6"/>
        <v>5.4746770555669455</v>
      </c>
      <c r="CP5" s="326">
        <f t="shared" si="6"/>
        <v>3.6505086774386575</v>
      </c>
      <c r="CQ5" s="326">
        <f t="shared" si="6"/>
        <v>3.3605090475243626</v>
      </c>
      <c r="CR5" s="326">
        <f t="shared" si="6"/>
        <v>3.5126017066878346</v>
      </c>
      <c r="CS5" s="326">
        <f t="shared" si="6"/>
        <v>3.3881513770556815</v>
      </c>
      <c r="CT5" s="326">
        <f t="shared" si="6"/>
        <v>1.2948793407886905</v>
      </c>
      <c r="CU5" s="326">
        <f t="shared" si="6"/>
        <v>1.4313725490196161</v>
      </c>
      <c r="CV5" s="326">
        <f t="shared" si="6"/>
        <v>1.8049833235236346</v>
      </c>
      <c r="CW5" s="326">
        <f t="shared" si="6"/>
        <v>1.3116679718089275</v>
      </c>
      <c r="CX5" s="316">
        <f t="shared" si="6"/>
        <v>1.3424124513618629</v>
      </c>
      <c r="CY5" s="98">
        <f t="shared" si="6"/>
        <v>2.9992041912593637</v>
      </c>
      <c r="CZ5" s="320">
        <f t="shared" si="6"/>
        <v>1.7382812499999956</v>
      </c>
      <c r="DA5" s="326">
        <f t="shared" si="6"/>
        <v>2.1857923497267784</v>
      </c>
      <c r="DB5" s="333">
        <f t="shared" si="6"/>
        <v>2.3328149300155587</v>
      </c>
      <c r="DC5" s="326">
        <f t="shared" si="6"/>
        <v>3.502694380292537</v>
      </c>
      <c r="DD5" s="333">
        <f t="shared" si="6"/>
        <v>3.5590611773759218</v>
      </c>
      <c r="DE5" s="333">
        <f t="shared" si="6"/>
        <v>2.7799079754601275</v>
      </c>
      <c r="DF5" s="333">
        <f t="shared" si="6"/>
        <v>2.1080873898045249</v>
      </c>
      <c r="DG5" s="333">
        <f t="shared" si="6"/>
        <v>0.29052876234747504</v>
      </c>
      <c r="DH5" s="333">
        <f t="shared" si="6"/>
        <v>0.2319737096462493</v>
      </c>
      <c r="DI5" s="333">
        <f t="shared" si="6"/>
        <v>4.6251686259394909</v>
      </c>
      <c r="DJ5" s="333">
        <f t="shared" si="6"/>
        <v>5.6811594202898608</v>
      </c>
      <c r="DK5" s="333">
        <f t="shared" si="6"/>
        <v>5.2601267037819088</v>
      </c>
      <c r="DL5" s="98">
        <f t="shared" si="6"/>
        <v>2.8619718309859321</v>
      </c>
      <c r="DM5" s="333">
        <f t="shared" si="6"/>
        <v>2.6300633518909544</v>
      </c>
      <c r="DN5" s="333">
        <f t="shared" si="6"/>
        <v>4.4117647058823595</v>
      </c>
      <c r="DO5" s="333">
        <f t="shared" si="6"/>
        <v>4.6162613981763023</v>
      </c>
      <c r="DP5" s="333">
        <f t="shared" si="6"/>
        <v>4.2766827817032338</v>
      </c>
      <c r="DQ5" s="333">
        <f t="shared" si="6"/>
        <v>5.9446405350176423</v>
      </c>
      <c r="DR5" s="333">
        <f t="shared" si="6"/>
        <v>5.3907853012497675</v>
      </c>
      <c r="DS5" s="333">
        <f t="shared" si="6"/>
        <v>5.4617117117117031</v>
      </c>
      <c r="DT5" s="333">
        <f t="shared" si="6"/>
        <v>8.7871765160293602</v>
      </c>
      <c r="DU5" s="333">
        <f t="shared" si="6"/>
        <v>8.6210221793635569</v>
      </c>
      <c r="DV5" s="333">
        <f t="shared" si="6"/>
        <v>4.7706759992632186</v>
      </c>
      <c r="DW5" s="333">
        <f t="shared" si="6"/>
        <v>4.0958127628451191</v>
      </c>
      <c r="DX5" s="406">
        <f t="shared" si="6"/>
        <v>3.7935436804668932</v>
      </c>
      <c r="DY5" s="408">
        <f t="shared" si="6"/>
        <v>5.2172824437037413</v>
      </c>
      <c r="DZ5" s="333">
        <f t="shared" si="6"/>
        <v>6.4347175458286499</v>
      </c>
      <c r="EA5" s="333">
        <f t="shared" si="6"/>
        <v>4.0241448692152959</v>
      </c>
      <c r="EB5" s="333">
        <f t="shared" si="6"/>
        <v>3.5772652987107412</v>
      </c>
      <c r="EC5" s="333">
        <f t="shared" si="6"/>
        <v>3.3880171184022867</v>
      </c>
      <c r="ED5" s="333">
        <f t="shared" si="6"/>
        <v>2.1918288620024651</v>
      </c>
      <c r="EE5" s="333">
        <f t="shared" si="6"/>
        <v>2.2654867256637123</v>
      </c>
      <c r="EF5" s="333">
        <f t="shared" si="6"/>
        <v>4.1288485495639904</v>
      </c>
      <c r="EG5" s="333">
        <f t="shared" si="6"/>
        <v>4.1363394283685517</v>
      </c>
      <c r="EH5" s="333">
        <f t="shared" si="6"/>
        <v>3.6044034090909172</v>
      </c>
      <c r="EI5" s="333">
        <f t="shared" si="6"/>
        <v>2.1448663853727234</v>
      </c>
      <c r="EJ5" s="333">
        <f t="shared" si="6"/>
        <v>2.0375900228350563</v>
      </c>
      <c r="EK5" s="333">
        <f t="shared" si="6"/>
        <v>1.0894394658232276</v>
      </c>
      <c r="EL5" s="408">
        <f t="shared" si="6"/>
        <v>3.2303642339783112</v>
      </c>
      <c r="EM5" s="333">
        <f t="shared" ref="EM5:EX5" si="7">(EM4/DZ4-1)*100</f>
        <v>-0.82601054481546976</v>
      </c>
      <c r="EN5" s="333">
        <f t="shared" si="7"/>
        <v>-2.9013539651837505</v>
      </c>
      <c r="EO5" s="333">
        <f t="shared" si="7"/>
        <v>-4.4179523141654968</v>
      </c>
      <c r="EP5" s="333">
        <f t="shared" si="7"/>
        <v>-6.7609520524318683</v>
      </c>
      <c r="EQ5" s="333">
        <f t="shared" si="7"/>
        <v>-7.4296499656829056</v>
      </c>
      <c r="ER5" s="333">
        <f t="shared" si="7"/>
        <v>-7.1478020076150894</v>
      </c>
      <c r="ES5" s="333">
        <f t="shared" si="7"/>
        <v>-8.9215518714749642</v>
      </c>
      <c r="ET5" s="333">
        <f t="shared" si="7"/>
        <v>-9.4953972042277517</v>
      </c>
      <c r="EU5" s="333">
        <f t="shared" si="7"/>
        <v>-8.7574978577549256</v>
      </c>
      <c r="EV5" s="333">
        <f t="shared" si="7"/>
        <v>-8.3476764199655769</v>
      </c>
      <c r="EW5" s="333">
        <f t="shared" si="7"/>
        <v>-8.4868307798244054</v>
      </c>
      <c r="EX5" s="333">
        <f t="shared" si="7"/>
        <v>-7.4395967321397531</v>
      </c>
      <c r="EY5" s="408">
        <f t="shared" ref="EY5:FL5" si="8">(EY4/EL4-1)*100</f>
        <v>-6.7685746805169362</v>
      </c>
      <c r="EZ5" s="333">
        <f t="shared" si="8"/>
        <v>-6.1137692716640046</v>
      </c>
      <c r="FA5" s="333">
        <f t="shared" si="8"/>
        <v>-4.2375950742484569</v>
      </c>
      <c r="FB5" s="333">
        <f t="shared" si="8"/>
        <v>-2.6045487894350683</v>
      </c>
      <c r="FC5" s="333">
        <f t="shared" si="8"/>
        <v>0.11098779134295356</v>
      </c>
      <c r="FD5" s="333">
        <f t="shared" si="8"/>
        <v>0.72289156626506035</v>
      </c>
      <c r="FE5" s="333">
        <f t="shared" si="8"/>
        <v>1.2674743709226499</v>
      </c>
      <c r="FF5" s="333">
        <f t="shared" si="8"/>
        <v>2.2893601050853807</v>
      </c>
      <c r="FG5" s="333">
        <f t="shared" si="8"/>
        <v>2.6935392729327656</v>
      </c>
      <c r="FH5" s="333">
        <f t="shared" si="8"/>
        <v>2.5732531930878988</v>
      </c>
      <c r="FI5" s="333">
        <f t="shared" si="8"/>
        <v>3.0422535211267698</v>
      </c>
      <c r="FJ5" s="333">
        <f t="shared" si="8"/>
        <v>3.4424379232505631</v>
      </c>
      <c r="FK5" s="333">
        <f>(FK4/EX4-1)*100</f>
        <v>5.2206572769952997</v>
      </c>
      <c r="FL5" s="408">
        <f t="shared" si="8"/>
        <v>0.64440357898967182</v>
      </c>
      <c r="FM5" s="333">
        <f t="shared" ref="FM5:FX5" si="9">(FM4/EZ4-1)*100</f>
        <v>6.1343903359758478</v>
      </c>
      <c r="FN5" s="333">
        <f t="shared" si="9"/>
        <v>7.0347957639939507</v>
      </c>
      <c r="FO5" s="333">
        <f t="shared" si="9"/>
        <v>6.9114877589453894</v>
      </c>
      <c r="FP5" s="333">
        <f t="shared" si="9"/>
        <v>6.2638580931263954</v>
      </c>
      <c r="FQ5" s="333">
        <f t="shared" si="9"/>
        <v>6.0176665439823251</v>
      </c>
      <c r="FR5" s="333">
        <f t="shared" si="9"/>
        <v>5.8531198233020332</v>
      </c>
      <c r="FS5" s="333">
        <f t="shared" si="9"/>
        <v>6.1456613465419085</v>
      </c>
      <c r="FT5" s="333">
        <f t="shared" si="9"/>
        <v>6.2362435803374971</v>
      </c>
      <c r="FU5" s="333">
        <f t="shared" si="9"/>
        <v>7.2880424830617185</v>
      </c>
      <c r="FV5" s="333">
        <f t="shared" si="9"/>
        <v>14.397667213413513</v>
      </c>
      <c r="FW5" s="333">
        <f t="shared" si="9"/>
        <v>6.6375704673577118</v>
      </c>
      <c r="FX5" s="333">
        <f t="shared" si="9"/>
        <v>4.5332857397822668</v>
      </c>
      <c r="FY5" s="408">
        <f t="shared" ref="FY5:HC5" si="10">(FY4/FL4-1)*100</f>
        <v>6.9555337182164445</v>
      </c>
      <c r="FZ5" s="333">
        <f t="shared" si="10"/>
        <v>3.6813089098346019</v>
      </c>
      <c r="GA5" s="333">
        <f t="shared" si="10"/>
        <v>3.4628975265017736</v>
      </c>
      <c r="GB5" s="333">
        <f t="shared" si="10"/>
        <v>2.8888497445834105</v>
      </c>
      <c r="GC5" s="333">
        <f t="shared" si="10"/>
        <v>3.373326378021213</v>
      </c>
      <c r="GD5" s="333">
        <f t="shared" si="10"/>
        <v>3.3153966325290662</v>
      </c>
      <c r="GE5" s="333">
        <f t="shared" si="10"/>
        <v>3.6167623022083095</v>
      </c>
      <c r="GF5" s="333">
        <f t="shared" si="10"/>
        <v>2.9208434151399842</v>
      </c>
      <c r="GG5" s="333">
        <f t="shared" si="10"/>
        <v>2.5897790055248615</v>
      </c>
      <c r="GH5" s="333">
        <f t="shared" si="10"/>
        <v>2.7137736815156188</v>
      </c>
      <c r="GI5" s="333">
        <f t="shared" si="10"/>
        <v>-4.4925920025489896</v>
      </c>
      <c r="GJ5" s="333">
        <f t="shared" si="10"/>
        <v>1.0402455661664423</v>
      </c>
      <c r="GK5" s="333">
        <f t="shared" si="10"/>
        <v>1.2463718627283571</v>
      </c>
      <c r="GL5" s="408">
        <f t="shared" si="10"/>
        <v>2.1390220793017445</v>
      </c>
      <c r="GM5" s="333">
        <f t="shared" si="10"/>
        <v>8.3876500857632976</v>
      </c>
      <c r="GN5" s="333">
        <f t="shared" si="10"/>
        <v>7.3087431693989124</v>
      </c>
      <c r="GO5" s="333">
        <f t="shared" si="10"/>
        <v>8.1492895052217129</v>
      </c>
      <c r="GP5" s="333">
        <f t="shared" si="10"/>
        <v>6.6947014297729091</v>
      </c>
      <c r="GQ5" s="333">
        <f t="shared" si="10"/>
        <v>6.6700268817204256</v>
      </c>
      <c r="GR5" s="333">
        <f t="shared" si="10"/>
        <v>7.132069139117303</v>
      </c>
      <c r="GS5" s="333">
        <f t="shared" si="10"/>
        <v>6.884970612930319</v>
      </c>
      <c r="GT5" s="333">
        <f t="shared" si="10"/>
        <v>6.916863009087848</v>
      </c>
      <c r="GU5" s="333">
        <f t="shared" si="10"/>
        <v>5.3838484546360865</v>
      </c>
      <c r="GV5" s="333">
        <f t="shared" si="10"/>
        <v>6.3719766472060124</v>
      </c>
      <c r="GW5" s="333">
        <f t="shared" si="10"/>
        <v>7.5105485232067615</v>
      </c>
      <c r="GX5" s="333">
        <f t="shared" si="10"/>
        <v>7.200674536256324</v>
      </c>
      <c r="GY5" s="408">
        <f t="shared" si="10"/>
        <v>7.0444706808343138</v>
      </c>
      <c r="GZ5" s="333">
        <f t="shared" si="10"/>
        <v>-1.5825288811521787E-2</v>
      </c>
      <c r="HA5" s="333">
        <f t="shared" si="10"/>
        <v>1.1298535964353817</v>
      </c>
      <c r="HB5" s="333">
        <f t="shared" si="10"/>
        <v>0.63321196770618204</v>
      </c>
      <c r="HC5" s="333">
        <f t="shared" si="10"/>
        <v>1.3400599085606091</v>
      </c>
      <c r="HD5" s="333">
        <f t="shared" ref="HD5:HZ5" si="11">(HD4/GQ4-1)*100</f>
        <v>1.1340368561978176</v>
      </c>
      <c r="HE5" s="333">
        <f t="shared" si="11"/>
        <v>1.0964912280701844</v>
      </c>
      <c r="HF5" s="333">
        <f t="shared" si="11"/>
        <v>1.4454045561665296</v>
      </c>
      <c r="HG5" s="333">
        <f t="shared" si="11"/>
        <v>2.1249803242562537</v>
      </c>
      <c r="HH5" s="333">
        <f t="shared" si="11"/>
        <v>1.6398612425102543</v>
      </c>
      <c r="HI5" s="333">
        <f t="shared" si="11"/>
        <v>1.5367727771679496</v>
      </c>
      <c r="HJ5" s="333">
        <f t="shared" si="11"/>
        <v>6.3579277864992179</v>
      </c>
      <c r="HK5" s="333">
        <f t="shared" si="11"/>
        <v>1.2269938650306678</v>
      </c>
      <c r="HL5" s="408">
        <f t="shared" si="11"/>
        <v>1.6399684873949605</v>
      </c>
      <c r="HM5" s="333">
        <f t="shared" si="11"/>
        <v>1.7727128838239903</v>
      </c>
      <c r="HN5" s="333">
        <f t="shared" si="11"/>
        <v>1.4476789929189549</v>
      </c>
      <c r="HO5" s="333">
        <f t="shared" si="11"/>
        <v>1.164071102721409</v>
      </c>
      <c r="HP5" s="333">
        <f t="shared" si="11"/>
        <v>1.6801493466085837</v>
      </c>
      <c r="HQ5" s="333">
        <f t="shared" si="11"/>
        <v>1.8688677776047324</v>
      </c>
      <c r="HR5" s="333">
        <f t="shared" si="11"/>
        <v>1.3170127052990477</v>
      </c>
      <c r="HS5" s="333">
        <f t="shared" si="11"/>
        <v>0.96019823447421881</v>
      </c>
      <c r="HT5" s="333">
        <f t="shared" si="11"/>
        <v>3.0826140567197235E-2</v>
      </c>
      <c r="HU5" s="333">
        <f t="shared" si="11"/>
        <v>15.48246974868135</v>
      </c>
      <c r="HV5" s="333">
        <f t="shared" si="11"/>
        <v>0.49420849420849233</v>
      </c>
      <c r="HW5" s="333">
        <f t="shared" si="11"/>
        <v>-3.6900369003690092</v>
      </c>
      <c r="HX5" s="333">
        <f t="shared" si="11"/>
        <v>0.99456099456098901</v>
      </c>
      <c r="HY5" s="494">
        <f t="shared" si="11"/>
        <v>1.9364673358394979</v>
      </c>
      <c r="HZ5" s="492">
        <f t="shared" si="11"/>
        <v>1.2286158631415134</v>
      </c>
      <c r="IA5" s="493">
        <f t="shared" ref="IA5" si="12">(IA4/HN4-1)*100</f>
        <v>0.91515433534976598</v>
      </c>
      <c r="IB5" s="493">
        <f t="shared" ref="IB5" si="13">(IB4/HO4-1)*100</f>
        <v>1.3528222671435275</v>
      </c>
      <c r="IC5" s="493">
        <f t="shared" ref="IC5" si="14">(IC4/HP4-1)*100</f>
        <v>1.3157894736842035</v>
      </c>
      <c r="ID5" s="493">
        <f t="shared" ref="ID5" si="15">(ID4/HQ4-1)*100</f>
        <v>1.0548845742241353</v>
      </c>
      <c r="IE5" s="493">
        <f t="shared" ref="IE5" si="16">(IE4/HR4-1)*100</f>
        <v>1.4834072488147942</v>
      </c>
      <c r="IF5" s="493">
        <f t="shared" ref="IF5" si="17">(IF4/HS4-1)*100</f>
        <v>1.7027151403589569</v>
      </c>
      <c r="IG5" s="493">
        <f t="shared" ref="IG5" si="18">(IG4/HT4-1)*100</f>
        <v>2.5115562403698055</v>
      </c>
      <c r="IH5" s="493">
        <f t="shared" ref="IH5" si="19">(IH4/HU4-1)*100</f>
        <v>-10.626007522837188</v>
      </c>
      <c r="II5" s="493">
        <f t="shared" ref="II5" si="20">(II4/HV4-1)*100</f>
        <v>2.1361610573228829</v>
      </c>
      <c r="IJ5" s="493">
        <f t="shared" ref="IJ5" si="21">(IJ4/HW4-1)*100</f>
        <v>2.191570881226057</v>
      </c>
      <c r="IK5" s="493">
        <f t="shared" ref="IK5" si="22">(IK4/HX4-1)*100</f>
        <v>2.6157870441606335</v>
      </c>
      <c r="IL5" s="497">
        <f t="shared" ref="IL5" si="23">(IL4/HY4-1)*100</f>
        <v>0.52212703401428584</v>
      </c>
      <c r="IM5" s="492">
        <f>(IM4/HZ4-1)*100</f>
        <v>2.4734982332155431</v>
      </c>
      <c r="IN5" s="493">
        <f t="shared" ref="IN5:IX5" si="24">(IN4/IA4-1)*100</f>
        <v>-1.5370427297878297E-2</v>
      </c>
      <c r="IO5" s="493">
        <f t="shared" si="24"/>
        <v>1.3654495243939913</v>
      </c>
      <c r="IP5" s="493">
        <f t="shared" si="24"/>
        <v>1.1325883418906724</v>
      </c>
      <c r="IQ5" s="493">
        <f t="shared" si="24"/>
        <v>0.33282904689864168</v>
      </c>
      <c r="IR5" s="493">
        <f t="shared" si="24"/>
        <v>-9.0415913200725395E-2</v>
      </c>
      <c r="IS5" s="493">
        <f t="shared" si="24"/>
        <v>2.2171945701357387</v>
      </c>
      <c r="IT5" s="493">
        <f t="shared" si="24"/>
        <v>0.94694122952052595</v>
      </c>
      <c r="IU5" s="493">
        <f t="shared" si="24"/>
        <v>-1.3076807455283279</v>
      </c>
      <c r="IV5" s="493">
        <f t="shared" si="24"/>
        <v>14.279265723743606</v>
      </c>
      <c r="IW5" s="493">
        <f t="shared" si="24"/>
        <v>17.741451709658062</v>
      </c>
      <c r="IX5" s="493">
        <f t="shared" si="24"/>
        <v>0.23991602938970846</v>
      </c>
      <c r="IY5" s="497">
        <f>(IY4/IL4-1)*100</f>
        <v>3.2917297024710024</v>
      </c>
      <c r="IZ5" s="492">
        <f t="shared" ref="IZ5:JN5" si="25">(IZ4/IM4-1)*100</f>
        <v>0.47976011994002032</v>
      </c>
      <c r="JA5" s="493">
        <f t="shared" si="25"/>
        <v>2.8439661798616456</v>
      </c>
      <c r="JB5" s="493">
        <f t="shared" si="25"/>
        <v>1.5589526260027187</v>
      </c>
      <c r="JC5" s="493">
        <f t="shared" si="25"/>
        <v>0.74660295654771502</v>
      </c>
      <c r="JD5" s="493">
        <f t="shared" si="25"/>
        <v>3.2569360675512637</v>
      </c>
      <c r="JE5" s="493">
        <f t="shared" si="25"/>
        <v>3.9969834087481226</v>
      </c>
      <c r="JF5" s="493">
        <f t="shared" si="25"/>
        <v>1.977276080861734</v>
      </c>
      <c r="JG5" s="493">
        <f t="shared" si="25"/>
        <v>3.1119714115545039</v>
      </c>
      <c r="JH5" s="493">
        <f t="shared" si="25"/>
        <v>5.482790130977766</v>
      </c>
      <c r="JI5" s="493">
        <f t="shared" si="25"/>
        <v>-8.5055957867017806</v>
      </c>
      <c r="JJ5" s="493">
        <f t="shared" si="25"/>
        <v>-12.431537383772772</v>
      </c>
      <c r="JK5" s="493">
        <f t="shared" si="25"/>
        <v>3.9790575916230475</v>
      </c>
      <c r="JL5" s="514">
        <f t="shared" si="25"/>
        <v>0.24166676837826806</v>
      </c>
      <c r="JM5" s="492">
        <f t="shared" si="25"/>
        <v>4.6851686063861475</v>
      </c>
      <c r="JN5" s="577">
        <f t="shared" si="25"/>
        <v>5.0971599402092727</v>
      </c>
    </row>
    <row r="6" spans="1:274" x14ac:dyDescent="0.15">
      <c r="A6" s="554" t="s">
        <v>98</v>
      </c>
      <c r="B6" s="96" t="s">
        <v>101</v>
      </c>
      <c r="C6" s="59">
        <v>106</v>
      </c>
      <c r="D6" s="25">
        <v>106</v>
      </c>
      <c r="E6" s="26">
        <v>104</v>
      </c>
      <c r="F6" s="25">
        <v>102</v>
      </c>
      <c r="G6" s="26">
        <v>100</v>
      </c>
      <c r="H6" s="25">
        <v>98</v>
      </c>
      <c r="I6" s="26">
        <v>100</v>
      </c>
      <c r="J6" s="25">
        <v>98</v>
      </c>
      <c r="K6" s="26">
        <v>101</v>
      </c>
      <c r="L6" s="25">
        <v>98</v>
      </c>
      <c r="M6" s="128">
        <v>93</v>
      </c>
      <c r="N6" s="25">
        <f>SUM(AA6:AL6)/12</f>
        <v>96</v>
      </c>
      <c r="O6" s="25">
        <v>89</v>
      </c>
      <c r="P6" s="25">
        <v>94</v>
      </c>
      <c r="Q6" s="25">
        <v>99</v>
      </c>
      <c r="R6" s="25">
        <v>98</v>
      </c>
      <c r="S6" s="25">
        <v>90</v>
      </c>
      <c r="T6" s="25">
        <v>99</v>
      </c>
      <c r="U6" s="25">
        <v>99</v>
      </c>
      <c r="V6" s="25">
        <v>87</v>
      </c>
      <c r="W6" s="25">
        <v>97</v>
      </c>
      <c r="X6" s="25">
        <v>97</v>
      </c>
      <c r="Y6" s="25">
        <v>99</v>
      </c>
      <c r="Z6" s="25">
        <v>93</v>
      </c>
      <c r="AA6" s="26">
        <v>89</v>
      </c>
      <c r="AB6" s="25">
        <v>97</v>
      </c>
      <c r="AC6" s="26">
        <v>99</v>
      </c>
      <c r="AD6" s="25">
        <v>98</v>
      </c>
      <c r="AE6" s="26">
        <v>89</v>
      </c>
      <c r="AF6" s="25">
        <v>101</v>
      </c>
      <c r="AG6" s="26">
        <v>97</v>
      </c>
      <c r="AH6" s="25">
        <v>90</v>
      </c>
      <c r="AI6" s="26">
        <v>97</v>
      </c>
      <c r="AJ6" s="25">
        <v>97</v>
      </c>
      <c r="AK6" s="26">
        <v>100</v>
      </c>
      <c r="AL6" s="25">
        <v>98</v>
      </c>
      <c r="AM6" s="26">
        <f>SUM(AN6:AY6)/12</f>
        <v>96.416666666666671</v>
      </c>
      <c r="AN6" s="119">
        <v>89</v>
      </c>
      <c r="AO6" s="25">
        <v>96</v>
      </c>
      <c r="AP6" s="90">
        <v>99</v>
      </c>
      <c r="AQ6" s="14">
        <v>98</v>
      </c>
      <c r="AR6" s="14">
        <v>90</v>
      </c>
      <c r="AS6" s="13">
        <v>99</v>
      </c>
      <c r="AT6" s="14">
        <v>97</v>
      </c>
      <c r="AU6" s="13">
        <v>91</v>
      </c>
      <c r="AV6" s="14">
        <v>98</v>
      </c>
      <c r="AW6" s="13">
        <v>100</v>
      </c>
      <c r="AX6" s="14">
        <v>100</v>
      </c>
      <c r="AY6" s="102">
        <v>100</v>
      </c>
      <c r="AZ6" s="109">
        <f>SUM(BA6:BL6)/12</f>
        <v>94.916666666666671</v>
      </c>
      <c r="BA6" s="59">
        <v>84</v>
      </c>
      <c r="BB6" s="26">
        <v>98</v>
      </c>
      <c r="BC6" s="26">
        <v>95</v>
      </c>
      <c r="BD6" s="26">
        <v>96</v>
      </c>
      <c r="BE6" s="26">
        <v>90</v>
      </c>
      <c r="BF6" s="26">
        <v>97</v>
      </c>
      <c r="BG6" s="26">
        <v>100</v>
      </c>
      <c r="BH6" s="26">
        <v>88</v>
      </c>
      <c r="BI6" s="26">
        <v>98</v>
      </c>
      <c r="BJ6" s="26">
        <v>99</v>
      </c>
      <c r="BK6" s="26">
        <v>99</v>
      </c>
      <c r="BL6" s="26">
        <v>95</v>
      </c>
      <c r="BM6" s="26">
        <v>89</v>
      </c>
      <c r="BN6" s="26">
        <v>97</v>
      </c>
      <c r="BO6" s="26">
        <v>96</v>
      </c>
      <c r="BP6" s="26">
        <v>99</v>
      </c>
      <c r="BQ6" s="26">
        <v>95</v>
      </c>
      <c r="BR6" s="26">
        <v>106</v>
      </c>
      <c r="BS6" s="26">
        <v>106</v>
      </c>
      <c r="BT6" s="26">
        <v>93</v>
      </c>
      <c r="BU6" s="26">
        <v>104</v>
      </c>
      <c r="BV6" s="26">
        <v>114</v>
      </c>
      <c r="BW6" s="26">
        <v>109</v>
      </c>
      <c r="BX6" s="26">
        <v>107</v>
      </c>
      <c r="BY6" s="110">
        <f>SUM(BM6:BX6)/12</f>
        <v>101.25</v>
      </c>
      <c r="BZ6" s="26">
        <v>95</v>
      </c>
      <c r="CA6" s="26">
        <v>103</v>
      </c>
      <c r="CB6" s="26">
        <v>108</v>
      </c>
      <c r="CC6" s="26">
        <v>107</v>
      </c>
      <c r="CD6" s="147">
        <v>97</v>
      </c>
      <c r="CE6" s="154">
        <v>111</v>
      </c>
      <c r="CF6" s="154">
        <v>110</v>
      </c>
      <c r="CG6" s="154">
        <v>99</v>
      </c>
      <c r="CH6" s="154">
        <v>109</v>
      </c>
      <c r="CI6" s="157">
        <v>109</v>
      </c>
      <c r="CJ6" s="263">
        <v>112</v>
      </c>
      <c r="CK6" s="382">
        <v>107</v>
      </c>
      <c r="CL6" s="102">
        <f>SUM(BZ6:CK6)/12</f>
        <v>105.58333333333333</v>
      </c>
      <c r="CM6" s="289">
        <v>100</v>
      </c>
      <c r="CN6" s="290">
        <v>115</v>
      </c>
      <c r="CO6" s="290">
        <v>133</v>
      </c>
      <c r="CP6" s="327">
        <v>112</v>
      </c>
      <c r="CQ6" s="327">
        <v>100</v>
      </c>
      <c r="CR6" s="327">
        <v>114</v>
      </c>
      <c r="CS6" s="327">
        <v>112</v>
      </c>
      <c r="CT6" s="327">
        <v>101</v>
      </c>
      <c r="CU6" s="327">
        <v>114</v>
      </c>
      <c r="CV6" s="327">
        <v>111</v>
      </c>
      <c r="CW6" s="327">
        <v>113</v>
      </c>
      <c r="CX6" s="317">
        <v>114</v>
      </c>
      <c r="CY6" s="102">
        <f>SUM(CM6:CX6)/12</f>
        <v>111.58333333333333</v>
      </c>
      <c r="CZ6" s="321">
        <v>101</v>
      </c>
      <c r="DA6" s="327">
        <v>110</v>
      </c>
      <c r="DB6" s="334">
        <v>116</v>
      </c>
      <c r="DC6" s="327">
        <v>115</v>
      </c>
      <c r="DD6" s="334">
        <v>104</v>
      </c>
      <c r="DE6" s="334">
        <v>119</v>
      </c>
      <c r="DF6" s="334">
        <v>114</v>
      </c>
      <c r="DG6" s="334">
        <v>100</v>
      </c>
      <c r="DH6" s="334">
        <v>111</v>
      </c>
      <c r="DI6" s="334">
        <v>118</v>
      </c>
      <c r="DJ6" s="334">
        <v>120</v>
      </c>
      <c r="DK6" s="334">
        <v>115</v>
      </c>
      <c r="DL6" s="102">
        <f>SUM(CZ6:DK6)/12</f>
        <v>111.91666666666667</v>
      </c>
      <c r="DM6" s="334">
        <v>104</v>
      </c>
      <c r="DN6" s="334">
        <v>115</v>
      </c>
      <c r="DO6" s="334">
        <v>120</v>
      </c>
      <c r="DP6" s="334">
        <v>119</v>
      </c>
      <c r="DQ6" s="334">
        <v>121</v>
      </c>
      <c r="DR6" s="334">
        <v>121</v>
      </c>
      <c r="DS6" s="334">
        <v>121</v>
      </c>
      <c r="DT6" s="334">
        <v>110</v>
      </c>
      <c r="DU6" s="334">
        <v>119</v>
      </c>
      <c r="DV6" s="334">
        <v>125</v>
      </c>
      <c r="DW6" s="334">
        <v>125</v>
      </c>
      <c r="DX6" s="407">
        <v>118</v>
      </c>
      <c r="DY6" s="306">
        <f>SUM(DM6:DX6)/12</f>
        <v>118.16666666666667</v>
      </c>
      <c r="DZ6" s="334">
        <v>110</v>
      </c>
      <c r="EA6" s="334">
        <v>122</v>
      </c>
      <c r="EB6" s="334">
        <v>122</v>
      </c>
      <c r="EC6" s="334">
        <v>123</v>
      </c>
      <c r="ED6" s="334">
        <v>116</v>
      </c>
      <c r="EE6" s="334">
        <v>123</v>
      </c>
      <c r="EF6" s="334">
        <v>130</v>
      </c>
      <c r="EG6" s="334">
        <v>112</v>
      </c>
      <c r="EH6" s="334">
        <v>126</v>
      </c>
      <c r="EI6" s="334">
        <v>126</v>
      </c>
      <c r="EJ6" s="334">
        <v>121</v>
      </c>
      <c r="EK6" s="334">
        <v>116</v>
      </c>
      <c r="EL6" s="306">
        <f>SUM(DZ6:EK6)/12</f>
        <v>120.58333333333333</v>
      </c>
      <c r="EM6" s="334">
        <v>107.176</v>
      </c>
      <c r="EN6" s="334">
        <v>105.97</v>
      </c>
      <c r="EO6" s="334">
        <v>104.949</v>
      </c>
      <c r="EP6" s="334">
        <v>102.235</v>
      </c>
      <c r="EQ6" s="334">
        <v>93.063999999999993</v>
      </c>
      <c r="ER6" s="334">
        <v>106.973</v>
      </c>
      <c r="ES6" s="334">
        <v>109.40300000000001</v>
      </c>
      <c r="ET6" s="334">
        <v>90.356999999999999</v>
      </c>
      <c r="EU6" s="334">
        <v>105.926</v>
      </c>
      <c r="EV6" s="334">
        <v>109.095</v>
      </c>
      <c r="EW6" s="334">
        <v>107.825</v>
      </c>
      <c r="EX6" s="334">
        <v>103.214</v>
      </c>
      <c r="EY6" s="306">
        <f>SUM(EM6:EX6)/12</f>
        <v>103.84891666666665</v>
      </c>
      <c r="EZ6" s="334">
        <v>97.070999999999998</v>
      </c>
      <c r="FA6" s="334">
        <v>105.92</v>
      </c>
      <c r="FB6" s="334">
        <v>111.904</v>
      </c>
      <c r="FC6" s="334">
        <v>109.81699999999999</v>
      </c>
      <c r="FD6" s="334">
        <v>101.428</v>
      </c>
      <c r="FE6" s="334">
        <v>114.744</v>
      </c>
      <c r="FF6" s="334">
        <v>114.913</v>
      </c>
      <c r="FG6" s="334">
        <v>99.647999999999996</v>
      </c>
      <c r="FH6" s="334">
        <v>114.27800000000001</v>
      </c>
      <c r="FI6" s="334">
        <v>122.27500000000001</v>
      </c>
      <c r="FJ6" s="334">
        <v>116.407</v>
      </c>
      <c r="FK6" s="334">
        <v>113.771</v>
      </c>
      <c r="FL6" s="306">
        <f>SUM(EZ6:FK6)/12</f>
        <v>110.18133333333333</v>
      </c>
      <c r="FM6" s="334">
        <v>105.35599999999999</v>
      </c>
      <c r="FN6" s="334">
        <v>117.32299999999999</v>
      </c>
      <c r="FO6" s="334">
        <v>119.51</v>
      </c>
      <c r="FP6" s="334">
        <v>117.254</v>
      </c>
      <c r="FQ6" s="334">
        <v>106.676</v>
      </c>
      <c r="FR6" s="334">
        <v>122.247</v>
      </c>
      <c r="FS6" s="334">
        <v>122.099</v>
      </c>
      <c r="FT6" s="334">
        <v>111.94499999999999</v>
      </c>
      <c r="FU6" s="334">
        <v>124.602</v>
      </c>
      <c r="FV6" s="334">
        <v>123.872</v>
      </c>
      <c r="FW6" s="334">
        <v>126.11799999999999</v>
      </c>
      <c r="FX6" s="334">
        <v>119.771</v>
      </c>
      <c r="FY6" s="306">
        <f>SUM(FM6:FX6)/12</f>
        <v>118.06441666666667</v>
      </c>
      <c r="FZ6" s="334">
        <v>110.51300000000001</v>
      </c>
      <c r="GA6" s="334">
        <v>124.07299999999999</v>
      </c>
      <c r="GB6" s="334">
        <v>125.099</v>
      </c>
      <c r="GC6" s="334">
        <v>123.666</v>
      </c>
      <c r="GD6" s="334">
        <v>115.301</v>
      </c>
      <c r="GE6" s="334">
        <v>126.90900000000001</v>
      </c>
      <c r="GF6" s="334">
        <v>127.06100000000001</v>
      </c>
      <c r="GG6" s="334">
        <v>112.53700000000001</v>
      </c>
      <c r="GH6" s="334">
        <v>122.989</v>
      </c>
      <c r="GI6" s="334">
        <v>128.32900000000001</v>
      </c>
      <c r="GJ6" s="334">
        <v>125.956</v>
      </c>
      <c r="GK6" s="334">
        <v>118.369</v>
      </c>
      <c r="GL6" s="306">
        <f>SUM(FZ6:GK6)/12</f>
        <v>121.73349999999999</v>
      </c>
      <c r="GM6" s="334">
        <v>118.467</v>
      </c>
      <c r="GN6" s="334">
        <v>127.392</v>
      </c>
      <c r="GO6" s="334">
        <v>147.98699999999999</v>
      </c>
      <c r="GP6" s="334">
        <v>129.78100000000001</v>
      </c>
      <c r="GQ6" s="334">
        <v>124.645</v>
      </c>
      <c r="GR6" s="334">
        <v>132.32599999999999</v>
      </c>
      <c r="GS6" s="334">
        <v>141.15700000000001</v>
      </c>
      <c r="GT6" s="334">
        <v>116.735</v>
      </c>
      <c r="GU6" s="334">
        <v>132.279</v>
      </c>
      <c r="GV6" s="334">
        <v>137.154</v>
      </c>
      <c r="GW6" s="334">
        <v>134.529</v>
      </c>
      <c r="GX6" s="334">
        <v>127.62</v>
      </c>
      <c r="GY6" s="306">
        <f>SUM(GM6:GX6)/12</f>
        <v>130.83933333333334</v>
      </c>
      <c r="GZ6" s="334">
        <v>122.89</v>
      </c>
      <c r="HA6" s="334">
        <v>130.25399999999999</v>
      </c>
      <c r="HB6" s="334">
        <v>131.042</v>
      </c>
      <c r="HC6" s="334">
        <v>137.459</v>
      </c>
      <c r="HD6" s="334">
        <v>132.59399999999999</v>
      </c>
      <c r="HE6" s="334">
        <v>143.37</v>
      </c>
      <c r="HF6" s="334">
        <v>139.631</v>
      </c>
      <c r="HG6" s="334">
        <v>126.59399999999999</v>
      </c>
      <c r="HH6" s="334">
        <v>137.697</v>
      </c>
      <c r="HI6" s="334">
        <v>141.38</v>
      </c>
      <c r="HJ6" s="334">
        <v>141.32499999999999</v>
      </c>
      <c r="HK6" s="334">
        <v>129.458</v>
      </c>
      <c r="HL6" s="306">
        <f>SUM(GZ6:HK6)/12</f>
        <v>134.47450000000001</v>
      </c>
      <c r="HM6" s="334">
        <v>132.494</v>
      </c>
      <c r="HN6" s="334">
        <v>131.16499999999999</v>
      </c>
      <c r="HO6" s="334">
        <v>136.821</v>
      </c>
      <c r="HP6" s="334">
        <v>136.999</v>
      </c>
      <c r="HQ6" s="334">
        <v>122.193</v>
      </c>
      <c r="HR6" s="438">
        <v>144.41399999999999</v>
      </c>
      <c r="HS6" s="438">
        <v>141.53299999999999</v>
      </c>
      <c r="HT6" s="450">
        <v>120.81699999999999</v>
      </c>
      <c r="HU6" s="450">
        <v>136.85900000000001</v>
      </c>
      <c r="HV6" s="450">
        <v>139.78100000000001</v>
      </c>
      <c r="HW6" s="450">
        <v>137.08500000000001</v>
      </c>
      <c r="HX6" s="450">
        <v>129.04900000000001</v>
      </c>
      <c r="HY6" s="479">
        <f>SUM(HM6:HX6)/12</f>
        <v>134.10083333333333</v>
      </c>
      <c r="HZ6" s="490">
        <v>123865</v>
      </c>
      <c r="IA6" s="491">
        <v>137174</v>
      </c>
      <c r="IB6" s="491">
        <v>141868</v>
      </c>
      <c r="IC6" s="491">
        <v>135234</v>
      </c>
      <c r="ID6" s="491">
        <v>124290</v>
      </c>
      <c r="IE6" s="491">
        <v>144123</v>
      </c>
      <c r="IF6" s="491">
        <v>139374</v>
      </c>
      <c r="IG6" s="491">
        <v>126905</v>
      </c>
      <c r="IH6" s="491">
        <v>140604</v>
      </c>
      <c r="II6" s="491">
        <v>138343</v>
      </c>
      <c r="IJ6" s="491">
        <v>142846</v>
      </c>
      <c r="IK6" s="491">
        <v>134606</v>
      </c>
      <c r="IL6" s="498">
        <f>AVERAGE(HZ6:IK6)</f>
        <v>135769.33333333334</v>
      </c>
      <c r="IM6" s="490">
        <v>126732</v>
      </c>
      <c r="IN6" s="491">
        <v>133601</v>
      </c>
      <c r="IO6" s="491">
        <v>143591</v>
      </c>
      <c r="IP6" s="491">
        <v>139477</v>
      </c>
      <c r="IQ6" s="491">
        <v>127906</v>
      </c>
      <c r="IR6" s="491">
        <v>145503</v>
      </c>
      <c r="IS6" s="491">
        <v>144908</v>
      </c>
      <c r="IT6" s="491">
        <v>128167</v>
      </c>
      <c r="IU6" s="491">
        <v>140147</v>
      </c>
      <c r="IV6" s="491">
        <v>142274</v>
      </c>
      <c r="IW6" s="491">
        <v>145998</v>
      </c>
      <c r="IX6" s="491">
        <v>138250</v>
      </c>
      <c r="IY6" s="498">
        <f>AVERAGE(IM6:IX6)</f>
        <v>138046.16666666666</v>
      </c>
      <c r="IZ6" s="490">
        <v>126456</v>
      </c>
      <c r="JA6" s="491">
        <v>136848</v>
      </c>
      <c r="JB6" s="491">
        <v>142704</v>
      </c>
      <c r="JC6" s="491">
        <v>140810</v>
      </c>
      <c r="JD6" s="491">
        <v>134206</v>
      </c>
      <c r="JE6" s="491">
        <v>148426</v>
      </c>
      <c r="JF6" s="491">
        <v>148729</v>
      </c>
      <c r="JG6" s="491">
        <v>132450</v>
      </c>
      <c r="JH6" s="491">
        <v>140842</v>
      </c>
      <c r="JI6" s="491">
        <v>149556</v>
      </c>
      <c r="JJ6" s="491">
        <v>149744</v>
      </c>
      <c r="JK6" s="491">
        <v>142312</v>
      </c>
      <c r="JL6" s="498">
        <f>AVERAGE(IZ6:JK6)</f>
        <v>141090.25</v>
      </c>
      <c r="JM6" s="490">
        <v>131994</v>
      </c>
      <c r="JN6" s="578">
        <v>145328</v>
      </c>
    </row>
    <row r="7" spans="1:274" ht="14.25" thickBot="1" x14ac:dyDescent="0.2">
      <c r="A7" s="560"/>
      <c r="B7" s="39" t="s">
        <v>99</v>
      </c>
      <c r="C7" s="40"/>
      <c r="D7" s="41">
        <f t="shared" ref="D7:N7" si="26">(D6/C6-1)*100</f>
        <v>0</v>
      </c>
      <c r="E7" s="42">
        <f t="shared" si="26"/>
        <v>-1.8867924528301883</v>
      </c>
      <c r="F7" s="41">
        <f t="shared" si="26"/>
        <v>-1.9230769230769273</v>
      </c>
      <c r="G7" s="42">
        <f t="shared" si="26"/>
        <v>-1.9607843137254943</v>
      </c>
      <c r="H7" s="41">
        <f t="shared" si="26"/>
        <v>-2.0000000000000018</v>
      </c>
      <c r="I7" s="42">
        <f t="shared" si="26"/>
        <v>2.0408163265306145</v>
      </c>
      <c r="J7" s="41">
        <f t="shared" si="26"/>
        <v>-2.0000000000000018</v>
      </c>
      <c r="K7" s="42">
        <f t="shared" si="26"/>
        <v>3.0612244897959107</v>
      </c>
      <c r="L7" s="41">
        <f t="shared" si="26"/>
        <v>-2.9702970297029729</v>
      </c>
      <c r="M7" s="42">
        <f t="shared" si="26"/>
        <v>-5.1020408163265252</v>
      </c>
      <c r="N7" s="41">
        <f t="shared" si="26"/>
        <v>3.2258064516129004</v>
      </c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2">
        <f t="shared" ref="AA7:AL7" si="27">(AA6/O6-1)*100</f>
        <v>0</v>
      </c>
      <c r="AB7" s="41">
        <f t="shared" si="27"/>
        <v>3.1914893617021267</v>
      </c>
      <c r="AC7" s="42">
        <f t="shared" si="27"/>
        <v>0</v>
      </c>
      <c r="AD7" s="41">
        <f t="shared" si="27"/>
        <v>0</v>
      </c>
      <c r="AE7" s="42">
        <f t="shared" si="27"/>
        <v>-1.1111111111111072</v>
      </c>
      <c r="AF7" s="41">
        <f t="shared" si="27"/>
        <v>2.020202020202011</v>
      </c>
      <c r="AG7" s="42">
        <f t="shared" si="27"/>
        <v>-2.0202020202020221</v>
      </c>
      <c r="AH7" s="41">
        <f t="shared" si="27"/>
        <v>3.4482758620689724</v>
      </c>
      <c r="AI7" s="42">
        <f t="shared" si="27"/>
        <v>0</v>
      </c>
      <c r="AJ7" s="41">
        <f t="shared" si="27"/>
        <v>0</v>
      </c>
      <c r="AK7" s="42">
        <f t="shared" si="27"/>
        <v>1.0101010101010166</v>
      </c>
      <c r="AL7" s="41">
        <f t="shared" si="27"/>
        <v>5.3763440860215006</v>
      </c>
      <c r="AM7" s="42">
        <f>(AM6/N6-1)*100</f>
        <v>0.43402777777779011</v>
      </c>
      <c r="AN7" s="122">
        <f t="shared" ref="AN7:AY7" si="28">(AN6/AA6-1)*100</f>
        <v>0</v>
      </c>
      <c r="AO7" s="41">
        <f t="shared" si="28"/>
        <v>-1.0309278350515427</v>
      </c>
      <c r="AP7" s="97">
        <f t="shared" si="28"/>
        <v>0</v>
      </c>
      <c r="AQ7" s="42">
        <f t="shared" si="28"/>
        <v>0</v>
      </c>
      <c r="AR7" s="42">
        <f t="shared" si="28"/>
        <v>1.1235955056179803</v>
      </c>
      <c r="AS7" s="41">
        <f t="shared" si="28"/>
        <v>-1.980198019801982</v>
      </c>
      <c r="AT7" s="42">
        <f t="shared" si="28"/>
        <v>0</v>
      </c>
      <c r="AU7" s="41">
        <f t="shared" si="28"/>
        <v>1.1111111111111072</v>
      </c>
      <c r="AV7" s="42">
        <f t="shared" si="28"/>
        <v>1.0309278350515427</v>
      </c>
      <c r="AW7" s="41">
        <f t="shared" si="28"/>
        <v>3.0927835051546282</v>
      </c>
      <c r="AX7" s="42">
        <f t="shared" si="28"/>
        <v>0</v>
      </c>
      <c r="AY7" s="98">
        <f t="shared" si="28"/>
        <v>2.0408163265306145</v>
      </c>
      <c r="AZ7" s="136">
        <f t="shared" ref="AZ7:BL7" si="29">(AZ6/AM6-1)*100</f>
        <v>-1.5557476231633505</v>
      </c>
      <c r="BA7" s="124">
        <f t="shared" si="29"/>
        <v>-5.6179775280898898</v>
      </c>
      <c r="BB7" s="32">
        <f t="shared" si="29"/>
        <v>2.0833333333333259</v>
      </c>
      <c r="BC7" s="32">
        <f t="shared" si="29"/>
        <v>-4.0404040404040442</v>
      </c>
      <c r="BD7" s="32">
        <f t="shared" si="29"/>
        <v>-2.0408163265306145</v>
      </c>
      <c r="BE7" s="32">
        <f t="shared" si="29"/>
        <v>0</v>
      </c>
      <c r="BF7" s="32">
        <f t="shared" si="29"/>
        <v>-2.0202020202020221</v>
      </c>
      <c r="BG7" s="32">
        <f t="shared" si="29"/>
        <v>3.0927835051546282</v>
      </c>
      <c r="BH7" s="32">
        <f t="shared" si="29"/>
        <v>-3.2967032967032961</v>
      </c>
      <c r="BI7" s="32">
        <f t="shared" si="29"/>
        <v>0</v>
      </c>
      <c r="BJ7" s="32">
        <f t="shared" si="29"/>
        <v>-1.0000000000000009</v>
      </c>
      <c r="BK7" s="32">
        <f t="shared" si="29"/>
        <v>-1.0000000000000009</v>
      </c>
      <c r="BL7" s="32">
        <f t="shared" si="29"/>
        <v>-5.0000000000000044</v>
      </c>
      <c r="BM7" s="32">
        <f t="shared" ref="BM7:BX7" si="30">(BM6/BA6-1)*100</f>
        <v>5.9523809523809534</v>
      </c>
      <c r="BN7" s="32">
        <f t="shared" si="30"/>
        <v>-1.0204081632653073</v>
      </c>
      <c r="BO7" s="32">
        <f t="shared" si="30"/>
        <v>1.0526315789473717</v>
      </c>
      <c r="BP7" s="32">
        <f t="shared" si="30"/>
        <v>3.125</v>
      </c>
      <c r="BQ7" s="32">
        <f t="shared" si="30"/>
        <v>5.555555555555558</v>
      </c>
      <c r="BR7" s="32">
        <f t="shared" si="30"/>
        <v>9.2783505154639059</v>
      </c>
      <c r="BS7" s="32">
        <f t="shared" si="30"/>
        <v>6.0000000000000053</v>
      </c>
      <c r="BT7" s="32">
        <f t="shared" si="30"/>
        <v>5.6818181818181879</v>
      </c>
      <c r="BU7" s="32">
        <f t="shared" si="30"/>
        <v>6.1224489795918435</v>
      </c>
      <c r="BV7" s="32">
        <f t="shared" si="30"/>
        <v>15.151515151515159</v>
      </c>
      <c r="BW7" s="32">
        <f t="shared" si="30"/>
        <v>10.1010101010101</v>
      </c>
      <c r="BX7" s="32">
        <f t="shared" si="30"/>
        <v>12.631578947368416</v>
      </c>
      <c r="BY7" s="136">
        <f>(BM6/AZ6-1)*100</f>
        <v>-6.2335381913959704</v>
      </c>
      <c r="BZ7" s="32">
        <f t="shared" ref="BZ7:CK7" si="31">(BZ6/BM6-1)*100</f>
        <v>6.7415730337078594</v>
      </c>
      <c r="CA7" s="32">
        <f t="shared" si="31"/>
        <v>6.1855670103092786</v>
      </c>
      <c r="CB7" s="32">
        <f t="shared" si="31"/>
        <v>12.5</v>
      </c>
      <c r="CC7" s="32">
        <f t="shared" si="31"/>
        <v>8.0808080808080884</v>
      </c>
      <c r="CD7" s="32">
        <f t="shared" si="31"/>
        <v>2.1052631578947434</v>
      </c>
      <c r="CE7" s="89">
        <f t="shared" si="31"/>
        <v>4.7169811320754818</v>
      </c>
      <c r="CF7" s="89">
        <f t="shared" si="31"/>
        <v>3.7735849056603765</v>
      </c>
      <c r="CG7" s="89">
        <f t="shared" si="31"/>
        <v>6.4516129032258007</v>
      </c>
      <c r="CH7" s="89">
        <f t="shared" si="31"/>
        <v>4.8076923076923128</v>
      </c>
      <c r="CI7" s="32">
        <f t="shared" si="31"/>
        <v>-4.3859649122807038</v>
      </c>
      <c r="CJ7" s="31">
        <f t="shared" si="31"/>
        <v>2.7522935779816571</v>
      </c>
      <c r="CK7" s="107">
        <f t="shared" si="31"/>
        <v>0</v>
      </c>
      <c r="CL7" s="98">
        <f t="shared" ref="CL7:EL7" si="32">(CL6/BY6-1)*100</f>
        <v>4.2798353909464959</v>
      </c>
      <c r="CM7" s="287">
        <f t="shared" si="32"/>
        <v>5.2631578947368363</v>
      </c>
      <c r="CN7" s="288">
        <f t="shared" si="32"/>
        <v>11.650485436893199</v>
      </c>
      <c r="CO7" s="288">
        <f t="shared" si="32"/>
        <v>23.148148148148138</v>
      </c>
      <c r="CP7" s="326">
        <f t="shared" si="32"/>
        <v>4.6728971962616717</v>
      </c>
      <c r="CQ7" s="326">
        <f t="shared" si="32"/>
        <v>3.0927835051546282</v>
      </c>
      <c r="CR7" s="326">
        <f t="shared" si="32"/>
        <v>2.7027027027026973</v>
      </c>
      <c r="CS7" s="326">
        <f t="shared" si="32"/>
        <v>1.8181818181818077</v>
      </c>
      <c r="CT7" s="326">
        <f t="shared" si="32"/>
        <v>2.020202020202011</v>
      </c>
      <c r="CU7" s="326">
        <f t="shared" si="32"/>
        <v>4.587155963302747</v>
      </c>
      <c r="CV7" s="326">
        <f t="shared" si="32"/>
        <v>1.8348623853210899</v>
      </c>
      <c r="CW7" s="326">
        <f t="shared" si="32"/>
        <v>0.89285714285713969</v>
      </c>
      <c r="CX7" s="316">
        <f t="shared" si="32"/>
        <v>6.5420560747663448</v>
      </c>
      <c r="CY7" s="98">
        <f t="shared" si="32"/>
        <v>5.6827150749802602</v>
      </c>
      <c r="CZ7" s="320">
        <f t="shared" si="32"/>
        <v>1.0000000000000009</v>
      </c>
      <c r="DA7" s="326">
        <f t="shared" si="32"/>
        <v>-4.3478260869565188</v>
      </c>
      <c r="DB7" s="333">
        <f t="shared" si="32"/>
        <v>-12.781954887218049</v>
      </c>
      <c r="DC7" s="326">
        <f t="shared" si="32"/>
        <v>2.6785714285714191</v>
      </c>
      <c r="DD7" s="333">
        <f t="shared" si="32"/>
        <v>4.0000000000000036</v>
      </c>
      <c r="DE7" s="333">
        <f t="shared" si="32"/>
        <v>4.3859649122806932</v>
      </c>
      <c r="DF7" s="333">
        <f t="shared" si="32"/>
        <v>1.7857142857142794</v>
      </c>
      <c r="DG7" s="333">
        <f t="shared" si="32"/>
        <v>-0.99009900990099098</v>
      </c>
      <c r="DH7" s="333">
        <f t="shared" si="32"/>
        <v>-2.6315789473684181</v>
      </c>
      <c r="DI7" s="333">
        <f t="shared" si="32"/>
        <v>6.3063063063063085</v>
      </c>
      <c r="DJ7" s="333">
        <f t="shared" si="32"/>
        <v>6.1946902654867353</v>
      </c>
      <c r="DK7" s="333">
        <f t="shared" si="32"/>
        <v>0.87719298245614308</v>
      </c>
      <c r="DL7" s="98">
        <f t="shared" si="32"/>
        <v>0.29873039581778116</v>
      </c>
      <c r="DM7" s="333">
        <f t="shared" si="32"/>
        <v>2.9702970297029729</v>
      </c>
      <c r="DN7" s="333">
        <f t="shared" si="32"/>
        <v>4.5454545454545414</v>
      </c>
      <c r="DO7" s="333">
        <f t="shared" si="32"/>
        <v>3.4482758620689724</v>
      </c>
      <c r="DP7" s="333">
        <f t="shared" si="32"/>
        <v>3.4782608695652195</v>
      </c>
      <c r="DQ7" s="333">
        <f t="shared" si="32"/>
        <v>16.346153846153854</v>
      </c>
      <c r="DR7" s="333">
        <f t="shared" si="32"/>
        <v>1.6806722689075571</v>
      </c>
      <c r="DS7" s="333">
        <f t="shared" si="32"/>
        <v>6.1403508771929793</v>
      </c>
      <c r="DT7" s="333">
        <f t="shared" si="32"/>
        <v>10.000000000000009</v>
      </c>
      <c r="DU7" s="333">
        <f t="shared" si="32"/>
        <v>7.2072072072072002</v>
      </c>
      <c r="DV7" s="333">
        <f t="shared" si="32"/>
        <v>5.9322033898305149</v>
      </c>
      <c r="DW7" s="333">
        <f t="shared" si="32"/>
        <v>4.1666666666666741</v>
      </c>
      <c r="DX7" s="406">
        <f t="shared" si="32"/>
        <v>2.6086956521739202</v>
      </c>
      <c r="DY7" s="408">
        <f t="shared" si="32"/>
        <v>5.5845122859270235</v>
      </c>
      <c r="DZ7" s="333">
        <f t="shared" si="32"/>
        <v>5.7692307692307709</v>
      </c>
      <c r="EA7" s="333">
        <f t="shared" si="32"/>
        <v>6.0869565217391397</v>
      </c>
      <c r="EB7" s="333">
        <f t="shared" si="32"/>
        <v>1.6666666666666607</v>
      </c>
      <c r="EC7" s="333">
        <f t="shared" si="32"/>
        <v>3.3613445378151363</v>
      </c>
      <c r="ED7" s="333">
        <f t="shared" si="32"/>
        <v>-4.1322314049586755</v>
      </c>
      <c r="EE7" s="333">
        <f t="shared" si="32"/>
        <v>1.6528925619834656</v>
      </c>
      <c r="EF7" s="333">
        <f t="shared" si="32"/>
        <v>7.4380165289256173</v>
      </c>
      <c r="EG7" s="333">
        <f t="shared" si="32"/>
        <v>1.8181818181818077</v>
      </c>
      <c r="EH7" s="333">
        <f t="shared" si="32"/>
        <v>5.8823529411764719</v>
      </c>
      <c r="EI7" s="333">
        <f t="shared" si="32"/>
        <v>0.80000000000000071</v>
      </c>
      <c r="EJ7" s="333">
        <f t="shared" si="32"/>
        <v>-3.2000000000000028</v>
      </c>
      <c r="EK7" s="333">
        <f t="shared" si="32"/>
        <v>-1.6949152542372836</v>
      </c>
      <c r="EL7" s="408">
        <f t="shared" si="32"/>
        <v>2.0451339915373623</v>
      </c>
      <c r="EM7" s="333">
        <f t="shared" ref="EM7:EX7" si="33">(EM6/DZ6-1)*100</f>
        <v>-2.5672727272727291</v>
      </c>
      <c r="EN7" s="333">
        <f t="shared" si="33"/>
        <v>-13.139344262295083</v>
      </c>
      <c r="EO7" s="333">
        <f t="shared" si="33"/>
        <v>-13.976229508196724</v>
      </c>
      <c r="EP7" s="333">
        <f t="shared" si="33"/>
        <v>-16.882113821138212</v>
      </c>
      <c r="EQ7" s="333">
        <f t="shared" si="33"/>
        <v>-19.77241379310345</v>
      </c>
      <c r="ER7" s="333">
        <f t="shared" si="33"/>
        <v>-13.030081300813013</v>
      </c>
      <c r="ES7" s="333">
        <f t="shared" si="33"/>
        <v>-15.843846153846153</v>
      </c>
      <c r="ET7" s="333">
        <f t="shared" si="33"/>
        <v>-19.324107142857137</v>
      </c>
      <c r="EU7" s="333">
        <f t="shared" si="33"/>
        <v>-15.93174603174603</v>
      </c>
      <c r="EV7" s="333">
        <f t="shared" si="33"/>
        <v>-13.416666666666666</v>
      </c>
      <c r="EW7" s="333">
        <f t="shared" si="33"/>
        <v>-10.888429752066109</v>
      </c>
      <c r="EX7" s="333">
        <f t="shared" si="33"/>
        <v>-11.022413793103446</v>
      </c>
      <c r="EY7" s="408">
        <f t="shared" ref="EY7:FV7" si="34">(EY6/EL6-1)*100</f>
        <v>-13.877885279889435</v>
      </c>
      <c r="EZ7" s="333">
        <f t="shared" si="34"/>
        <v>-9.4284168097335304</v>
      </c>
      <c r="FA7" s="333">
        <f t="shared" si="34"/>
        <v>-4.7183165046704723E-2</v>
      </c>
      <c r="FB7" s="333">
        <f t="shared" si="34"/>
        <v>6.6270283661588048</v>
      </c>
      <c r="FC7" s="333">
        <f t="shared" si="34"/>
        <v>7.4162468821832084</v>
      </c>
      <c r="FD7" s="333">
        <f t="shared" si="34"/>
        <v>8.9873635347717862</v>
      </c>
      <c r="FE7" s="333">
        <f t="shared" si="34"/>
        <v>7.2644499079207003</v>
      </c>
      <c r="FF7" s="333">
        <f t="shared" si="34"/>
        <v>5.0364249609242906</v>
      </c>
      <c r="FG7" s="333">
        <f t="shared" si="34"/>
        <v>10.282545901258345</v>
      </c>
      <c r="FH7" s="333">
        <f t="shared" si="34"/>
        <v>7.8847497309442405</v>
      </c>
      <c r="FI7" s="333">
        <f t="shared" si="34"/>
        <v>12.081213621155884</v>
      </c>
      <c r="FJ7" s="333">
        <f t="shared" si="34"/>
        <v>7.9591931370275759</v>
      </c>
      <c r="FK7" s="333">
        <f t="shared" si="34"/>
        <v>10.228263607650124</v>
      </c>
      <c r="FL7" s="408">
        <f t="shared" si="34"/>
        <v>6.0977204865722445</v>
      </c>
      <c r="FM7" s="333">
        <f t="shared" si="34"/>
        <v>8.5349898527881543</v>
      </c>
      <c r="FN7" s="333">
        <f t="shared" si="34"/>
        <v>10.765672205438047</v>
      </c>
      <c r="FO7" s="333">
        <f t="shared" si="34"/>
        <v>6.7968973405776456</v>
      </c>
      <c r="FP7" s="333">
        <f t="shared" si="34"/>
        <v>6.7721755283790319</v>
      </c>
      <c r="FQ7" s="333">
        <f t="shared" si="34"/>
        <v>5.1741136569783519</v>
      </c>
      <c r="FR7" s="333">
        <f t="shared" si="34"/>
        <v>6.5389039949801386</v>
      </c>
      <c r="FS7" s="333">
        <f t="shared" si="34"/>
        <v>6.2534265052692106</v>
      </c>
      <c r="FT7" s="333">
        <f t="shared" si="34"/>
        <v>12.340438342967254</v>
      </c>
      <c r="FU7" s="333">
        <f t="shared" si="34"/>
        <v>9.0341098024116597</v>
      </c>
      <c r="FV7" s="333">
        <f t="shared" si="34"/>
        <v>1.3060723778368422</v>
      </c>
      <c r="FW7" s="333">
        <f t="shared" ref="FW7:HY7" si="35">(FW6/FJ6-1)*100</f>
        <v>8.342281821539931</v>
      </c>
      <c r="FX7" s="333">
        <f t="shared" si="35"/>
        <v>5.2737516590343869</v>
      </c>
      <c r="FY7" s="408">
        <f t="shared" si="35"/>
        <v>7.1546450699453201</v>
      </c>
      <c r="FZ7" s="333">
        <f t="shared" si="35"/>
        <v>4.8948327575078832</v>
      </c>
      <c r="GA7" s="333">
        <f t="shared" si="35"/>
        <v>5.7533475959530511</v>
      </c>
      <c r="GB7" s="333">
        <f t="shared" si="35"/>
        <v>4.6765961007447121</v>
      </c>
      <c r="GC7" s="333">
        <f t="shared" si="35"/>
        <v>5.4684701588005424</v>
      </c>
      <c r="GD7" s="333">
        <f t="shared" si="35"/>
        <v>8.0852300423712933</v>
      </c>
      <c r="GE7" s="333">
        <f t="shared" si="35"/>
        <v>3.8135905175587181</v>
      </c>
      <c r="GF7" s="333">
        <f t="shared" si="35"/>
        <v>4.0639153473820411</v>
      </c>
      <c r="GG7" s="333">
        <f t="shared" si="35"/>
        <v>0.52883112242620989</v>
      </c>
      <c r="GH7" s="333">
        <f t="shared" si="35"/>
        <v>-1.2945217572751688</v>
      </c>
      <c r="GI7" s="333">
        <f t="shared" si="35"/>
        <v>3.5980689744252281</v>
      </c>
      <c r="GJ7" s="333">
        <f t="shared" si="35"/>
        <v>-0.12845113306585443</v>
      </c>
      <c r="GK7" s="333">
        <f t="shared" si="35"/>
        <v>-1.1705671656744965</v>
      </c>
      <c r="GL7" s="408">
        <f t="shared" si="35"/>
        <v>3.1076961517476631</v>
      </c>
      <c r="GM7" s="333">
        <f t="shared" si="35"/>
        <v>7.197343298978387</v>
      </c>
      <c r="GN7" s="333">
        <f t="shared" si="35"/>
        <v>2.6750380824192233</v>
      </c>
      <c r="GO7" s="333">
        <f t="shared" si="35"/>
        <v>18.295909639565465</v>
      </c>
      <c r="GP7" s="333">
        <f t="shared" si="35"/>
        <v>4.9447705917552209</v>
      </c>
      <c r="GQ7" s="333">
        <f t="shared" si="35"/>
        <v>8.104006036374356</v>
      </c>
      <c r="GR7" s="333">
        <f t="shared" si="35"/>
        <v>4.2684127997226318</v>
      </c>
      <c r="GS7" s="333">
        <f t="shared" si="35"/>
        <v>11.093884039949309</v>
      </c>
      <c r="GT7" s="333">
        <f t="shared" si="35"/>
        <v>3.7303286918968892</v>
      </c>
      <c r="GU7" s="333">
        <f t="shared" si="35"/>
        <v>7.5535210465976554</v>
      </c>
      <c r="GV7" s="333">
        <f t="shared" si="35"/>
        <v>6.8768555821365318</v>
      </c>
      <c r="GW7" s="333">
        <f t="shared" si="35"/>
        <v>6.8063450728825803</v>
      </c>
      <c r="GX7" s="333">
        <f t="shared" si="35"/>
        <v>7.8153908540242734</v>
      </c>
      <c r="GY7" s="408">
        <f t="shared" si="35"/>
        <v>7.4801376230317462</v>
      </c>
      <c r="GZ7" s="333">
        <f t="shared" si="35"/>
        <v>3.7335291684604144</v>
      </c>
      <c r="HA7" s="333">
        <f t="shared" si="35"/>
        <v>2.2466088922381333</v>
      </c>
      <c r="HB7" s="333">
        <f t="shared" si="35"/>
        <v>-11.450330096562533</v>
      </c>
      <c r="HC7" s="333">
        <f t="shared" si="35"/>
        <v>5.9161202333161134</v>
      </c>
      <c r="HD7" s="333">
        <f t="shared" si="35"/>
        <v>6.377311564844157</v>
      </c>
      <c r="HE7" s="333">
        <f t="shared" si="35"/>
        <v>8.3460544413040516</v>
      </c>
      <c r="HF7" s="333">
        <f t="shared" si="35"/>
        <v>-1.0810657636532439</v>
      </c>
      <c r="HG7" s="333">
        <f t="shared" si="35"/>
        <v>8.4456247055296085</v>
      </c>
      <c r="HH7" s="333">
        <f t="shared" si="35"/>
        <v>4.0958882362279736</v>
      </c>
      <c r="HI7" s="333">
        <f t="shared" si="35"/>
        <v>3.081207985184542</v>
      </c>
      <c r="HJ7" s="333">
        <f t="shared" si="35"/>
        <v>5.0516988902021165</v>
      </c>
      <c r="HK7" s="333">
        <f t="shared" si="35"/>
        <v>1.4402131327378109</v>
      </c>
      <c r="HL7" s="408">
        <f t="shared" si="35"/>
        <v>2.7783439230812279</v>
      </c>
      <c r="HM7" s="333">
        <f t="shared" si="35"/>
        <v>7.8151192123036894</v>
      </c>
      <c r="HN7" s="333">
        <f t="shared" si="35"/>
        <v>0.69940270548314309</v>
      </c>
      <c r="HO7" s="333">
        <f t="shared" si="35"/>
        <v>4.4100364768547395</v>
      </c>
      <c r="HP7" s="333">
        <f t="shared" si="35"/>
        <v>-0.33464523967147164</v>
      </c>
      <c r="HQ7" s="333">
        <f t="shared" si="35"/>
        <v>-7.8442463459885037</v>
      </c>
      <c r="HR7" s="333">
        <f t="shared" si="35"/>
        <v>0.72818581293156992</v>
      </c>
      <c r="HS7" s="333">
        <f t="shared" si="35"/>
        <v>1.3621616976172923</v>
      </c>
      <c r="HT7" s="333">
        <f t="shared" si="35"/>
        <v>-4.5634074284721216</v>
      </c>
      <c r="HU7" s="333">
        <f t="shared" si="35"/>
        <v>-0.60858261254783663</v>
      </c>
      <c r="HV7" s="333">
        <f t="shared" si="35"/>
        <v>-1.1309944829537288</v>
      </c>
      <c r="HW7" s="333">
        <f t="shared" si="35"/>
        <v>-3.000176897222695</v>
      </c>
      <c r="HX7" s="333">
        <f t="shared" si="35"/>
        <v>-0.31593258045079509</v>
      </c>
      <c r="HY7" s="494">
        <f t="shared" si="35"/>
        <v>-0.27787176503104583</v>
      </c>
      <c r="HZ7" s="320">
        <f>(124/HM6-1)*100</f>
        <v>-6.4108563406644841</v>
      </c>
      <c r="IA7" s="326">
        <f>(137/HN6-1)*100</f>
        <v>4.4485952807532536</v>
      </c>
      <c r="IB7" s="326">
        <f>(142/HO6-1)*100</f>
        <v>3.7852376462677473</v>
      </c>
      <c r="IC7" s="326">
        <f>(135/HP6-1)*100</f>
        <v>-1.4591347382097664</v>
      </c>
      <c r="ID7" s="326">
        <f>(124/HQ6-1)*100</f>
        <v>1.4788081150311383</v>
      </c>
      <c r="IE7" s="326">
        <f>(144/HR6-1)*100</f>
        <v>-0.28667580705470375</v>
      </c>
      <c r="IF7" s="326">
        <f>(139/HS6-1)*100</f>
        <v>-1.7896886238545018</v>
      </c>
      <c r="IG7" s="326">
        <f>(127/HT6-1)*100</f>
        <v>5.1176572833293354</v>
      </c>
      <c r="IH7" s="326">
        <f>(141/HU6-1)*100</f>
        <v>3.025741821875072</v>
      </c>
      <c r="II7" s="326">
        <f>(138/HV6-1)*100</f>
        <v>-1.2741359698385413</v>
      </c>
      <c r="IJ7" s="326">
        <f>(143/HW6-1)*100</f>
        <v>4.3148411569464251</v>
      </c>
      <c r="IK7" s="326">
        <f>(135/HX6-1)*100</f>
        <v>4.6114266673898952</v>
      </c>
      <c r="IL7" s="499">
        <f>(136/HY6-1)*100</f>
        <v>1.4162228671211308</v>
      </c>
      <c r="IM7" s="320">
        <f>(IM6/HZ6-1)*100</f>
        <v>2.3146167198159207</v>
      </c>
      <c r="IN7" s="493">
        <f t="shared" ref="IN7:IX7" si="36">(IN6/IA6-1)*100</f>
        <v>-2.6047210112703612</v>
      </c>
      <c r="IO7" s="493">
        <f t="shared" si="36"/>
        <v>1.2145092621310027</v>
      </c>
      <c r="IP7" s="493">
        <f t="shared" si="36"/>
        <v>3.1375245870121526</v>
      </c>
      <c r="IQ7" s="493">
        <f>(IQ6/ID6-1)*100</f>
        <v>2.9093249658057818</v>
      </c>
      <c r="IR7" s="493">
        <f t="shared" si="36"/>
        <v>0.95751545554838557</v>
      </c>
      <c r="IS7" s="493">
        <f t="shared" si="36"/>
        <v>3.9706114483332611</v>
      </c>
      <c r="IT7" s="493">
        <f t="shared" si="36"/>
        <v>0.99444466333082904</v>
      </c>
      <c r="IU7" s="493">
        <f t="shared" si="36"/>
        <v>-0.32502631504082169</v>
      </c>
      <c r="IV7" s="493">
        <f t="shared" si="36"/>
        <v>2.8414881851629659</v>
      </c>
      <c r="IW7" s="493">
        <f t="shared" si="36"/>
        <v>2.2065721126247828</v>
      </c>
      <c r="IX7" s="493">
        <f t="shared" si="36"/>
        <v>2.7071601563080305</v>
      </c>
      <c r="IY7" s="499">
        <f>(IY6/IL6-1)*100</f>
        <v>1.6769864574228688</v>
      </c>
      <c r="IZ7" s="492">
        <f>(IZ6/IM6-1)*100</f>
        <v>-0.21778240696903595</v>
      </c>
      <c r="JA7" s="493">
        <f t="shared" ref="JA7:JK7" si="37">(JA6/IN6-1)*100</f>
        <v>2.4303710301569525</v>
      </c>
      <c r="JB7" s="493">
        <f t="shared" si="37"/>
        <v>-0.61772673774819209</v>
      </c>
      <c r="JC7" s="493">
        <f t="shared" si="37"/>
        <v>0.95571312832940514</v>
      </c>
      <c r="JD7" s="493">
        <f t="shared" si="37"/>
        <v>4.925492158303757</v>
      </c>
      <c r="JE7" s="493">
        <f t="shared" si="37"/>
        <v>2.0088932874236187</v>
      </c>
      <c r="JF7" s="493">
        <f t="shared" si="37"/>
        <v>2.6368454467662339</v>
      </c>
      <c r="JG7" s="493">
        <f t="shared" si="37"/>
        <v>3.3417338316415357</v>
      </c>
      <c r="JH7" s="493">
        <f t="shared" si="37"/>
        <v>0.49590786816700039</v>
      </c>
      <c r="JI7" s="493">
        <f t="shared" si="37"/>
        <v>5.1182928715014731</v>
      </c>
      <c r="JJ7" s="493">
        <f t="shared" si="37"/>
        <v>2.5657885724462037</v>
      </c>
      <c r="JK7" s="493">
        <f t="shared" si="37"/>
        <v>2.9381555153707106</v>
      </c>
      <c r="JL7" s="533">
        <f>(JL6/IY6-1)*100</f>
        <v>2.2051197848063087</v>
      </c>
      <c r="JM7" s="492">
        <f>(JM6/IZ6-1)*100</f>
        <v>4.3793888783450363</v>
      </c>
      <c r="JN7" s="577">
        <f t="shared" ref="JN7" si="38">(JN6/JA6-1)*100</f>
        <v>6.1966561440430334</v>
      </c>
    </row>
  </sheetData>
  <mergeCells count="3">
    <mergeCell ref="A3:B3"/>
    <mergeCell ref="A4:A5"/>
    <mergeCell ref="A6:A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>
    <oddHeader>&amp;L金属熱処理加工月報（労務）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加工別</vt:lpstr>
      <vt:lpstr>用途別</vt:lpstr>
      <vt:lpstr>原材料別</vt:lpstr>
      <vt:lpstr>労務</vt:lpstr>
      <vt:lpstr>加工別!Print_Area</vt:lpstr>
      <vt:lpstr>原材料別!Print_Area</vt:lpstr>
      <vt:lpstr>用途別!Print_Area</vt:lpstr>
      <vt:lpstr>労務!Print_Area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智子</dc:creator>
  <cp:lastModifiedBy>星野</cp:lastModifiedBy>
  <cp:lastPrinted>2017-02-03T04:31:27Z</cp:lastPrinted>
  <dcterms:created xsi:type="dcterms:W3CDTF">2001-06-11T12:12:19Z</dcterms:created>
  <dcterms:modified xsi:type="dcterms:W3CDTF">2019-04-12T09:32:55Z</dcterms:modified>
</cp:coreProperties>
</file>